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Лист1" sheetId="1" r:id="rId1"/>
    <sheet name="Лист2" sheetId="2" r:id="rId2"/>
    <sheet name="Лист3" sheetId="3" r:id="rId3"/>
    <sheet name="DV-IDENTITY-0" sheetId="4" state="veryHidden" r:id="rId4"/>
  </sheets>
  <definedNames/>
  <calcPr fullCalcOnLoad="1" refMode="R1C1"/>
</workbook>
</file>

<file path=xl/sharedStrings.xml><?xml version="1.0" encoding="utf-8"?>
<sst xmlns="http://schemas.openxmlformats.org/spreadsheetml/2006/main" count="79" uniqueCount="76">
  <si>
    <t>Клеи плиточные</t>
  </si>
  <si>
    <t>Основные свойства, преимущества, 
рекомендации по применению</t>
  </si>
  <si>
    <t>Победитель конкурса в номинации</t>
  </si>
  <si>
    <t>Смеси для пола</t>
  </si>
  <si>
    <r>
      <t xml:space="preserve">~при сжатии </t>
    </r>
    <r>
      <rPr>
        <b/>
        <sz val="10"/>
        <rFont val="Arial Cyr"/>
        <family val="0"/>
      </rPr>
      <t>100</t>
    </r>
    <r>
      <rPr>
        <sz val="10"/>
        <rFont val="Arial Cyr"/>
        <family val="0"/>
      </rPr>
      <t xml:space="preserve">;
~сцепления с основанием     </t>
    </r>
    <r>
      <rPr>
        <b/>
        <sz val="10"/>
        <rFont val="Arial Cyr"/>
        <family val="0"/>
      </rPr>
      <t>4</t>
    </r>
  </si>
  <si>
    <r>
      <t xml:space="preserve">~при сжатии </t>
    </r>
    <r>
      <rPr>
        <b/>
        <sz val="10"/>
        <rFont val="Arial Cyr"/>
        <family val="0"/>
      </rPr>
      <t>150</t>
    </r>
    <r>
      <rPr>
        <sz val="10"/>
        <rFont val="Arial Cyr"/>
        <family val="0"/>
      </rPr>
      <t xml:space="preserve">;
~сцепления с основанием     </t>
    </r>
    <r>
      <rPr>
        <b/>
        <sz val="10"/>
        <rFont val="Arial Cyr"/>
        <family val="0"/>
      </rPr>
      <t>6</t>
    </r>
  </si>
  <si>
    <t>"Лучший товар в строительстве" в 2007 и 2008 годах</t>
  </si>
  <si>
    <t>Прочность, 
не менее, кг/см2</t>
  </si>
  <si>
    <r>
      <t xml:space="preserve">НАЛИВНОЙ ПОЛ 
</t>
    </r>
    <r>
      <rPr>
        <sz val="10"/>
        <rFont val="Arial Cyr"/>
        <family val="0"/>
      </rPr>
      <t>RF-42 25кг</t>
    </r>
  </si>
  <si>
    <t>Штукатурки цементно-известковые</t>
  </si>
  <si>
    <r>
      <t xml:space="preserve">~при сжатии </t>
    </r>
    <r>
      <rPr>
        <b/>
        <sz val="10"/>
        <rFont val="Arial Cyr"/>
        <family val="0"/>
      </rPr>
      <t>200</t>
    </r>
    <r>
      <rPr>
        <sz val="10"/>
        <rFont val="Arial Cyr"/>
        <family val="0"/>
      </rPr>
      <t xml:space="preserve">;
~сцепления с основанием     </t>
    </r>
    <r>
      <rPr>
        <b/>
        <sz val="10"/>
        <rFont val="Arial Cyr"/>
        <family val="0"/>
      </rPr>
      <t xml:space="preserve">4
</t>
    </r>
    <r>
      <rPr>
        <sz val="10"/>
        <rFont val="Arial Cyr"/>
        <family val="0"/>
      </rPr>
      <t xml:space="preserve">слой от </t>
    </r>
    <r>
      <rPr>
        <b/>
        <sz val="10"/>
        <rFont val="Arial Cyr"/>
        <family val="0"/>
      </rPr>
      <t>10</t>
    </r>
    <r>
      <rPr>
        <sz val="10"/>
        <rFont val="Arial Cyr"/>
        <family val="0"/>
      </rPr>
      <t xml:space="preserve"> мм</t>
    </r>
  </si>
  <si>
    <r>
      <t xml:space="preserve">~при сжатии </t>
    </r>
    <r>
      <rPr>
        <b/>
        <sz val="10"/>
        <rFont val="Arial Cyr"/>
        <family val="0"/>
      </rPr>
      <t>150</t>
    </r>
    <r>
      <rPr>
        <sz val="10"/>
        <rFont val="Arial Cyr"/>
        <family val="0"/>
      </rPr>
      <t xml:space="preserve">;
~сцепления с основанием     </t>
    </r>
    <r>
      <rPr>
        <b/>
        <sz val="10"/>
        <rFont val="Arial Cyr"/>
        <family val="0"/>
      </rPr>
      <t xml:space="preserve">6
</t>
    </r>
    <r>
      <rPr>
        <sz val="10"/>
        <rFont val="Arial Cyr"/>
        <family val="0"/>
      </rPr>
      <t xml:space="preserve">слой </t>
    </r>
    <r>
      <rPr>
        <b/>
        <sz val="10"/>
        <rFont val="Arial Cyr"/>
        <family val="0"/>
      </rPr>
      <t>5-25</t>
    </r>
    <r>
      <rPr>
        <sz val="10"/>
        <rFont val="Arial Cyr"/>
        <family val="0"/>
      </rPr>
      <t xml:space="preserve"> мм</t>
    </r>
  </si>
  <si>
    <r>
      <t xml:space="preserve">~при сжатии </t>
    </r>
    <r>
      <rPr>
        <b/>
        <sz val="10"/>
        <rFont val="Arial Cyr"/>
        <family val="0"/>
      </rPr>
      <t>50</t>
    </r>
    <r>
      <rPr>
        <sz val="10"/>
        <rFont val="Arial Cyr"/>
        <family val="0"/>
      </rPr>
      <t xml:space="preserve">;
~сцепления с основанием     </t>
    </r>
    <r>
      <rPr>
        <b/>
        <sz val="10"/>
        <rFont val="Arial Cyr"/>
        <family val="0"/>
      </rPr>
      <t xml:space="preserve">4
</t>
    </r>
    <r>
      <rPr>
        <sz val="10"/>
        <rFont val="Arial Cyr"/>
        <family val="0"/>
      </rPr>
      <t>слой</t>
    </r>
    <r>
      <rPr>
        <b/>
        <sz val="10"/>
        <rFont val="Arial Cyr"/>
        <family val="0"/>
      </rPr>
      <t xml:space="preserve"> 10-25 </t>
    </r>
    <r>
      <rPr>
        <sz val="10"/>
        <rFont val="Arial Cyr"/>
        <family val="0"/>
      </rPr>
      <t>мм</t>
    </r>
  </si>
  <si>
    <r>
      <t xml:space="preserve">~при сжатии </t>
    </r>
    <r>
      <rPr>
        <b/>
        <sz val="10"/>
        <rFont val="Arial Cyr"/>
        <family val="0"/>
      </rPr>
      <t>150</t>
    </r>
    <r>
      <rPr>
        <sz val="10"/>
        <rFont val="Arial Cyr"/>
        <family val="0"/>
      </rPr>
      <t xml:space="preserve">;
~сцепления с основанием     </t>
    </r>
    <r>
      <rPr>
        <b/>
        <sz val="10"/>
        <rFont val="Arial Cyr"/>
        <family val="0"/>
      </rPr>
      <t xml:space="preserve">5
</t>
    </r>
    <r>
      <rPr>
        <sz val="10"/>
        <rFont val="Arial Cyr"/>
        <family val="0"/>
      </rPr>
      <t>слой</t>
    </r>
    <r>
      <rPr>
        <b/>
        <sz val="10"/>
        <rFont val="Arial Cyr"/>
        <family val="0"/>
      </rPr>
      <t xml:space="preserve"> 2-25</t>
    </r>
    <r>
      <rPr>
        <sz val="10"/>
        <rFont val="Arial Cyr"/>
        <family val="0"/>
      </rPr>
      <t xml:space="preserve"> мм</t>
    </r>
  </si>
  <si>
    <r>
      <t xml:space="preserve">~при сжатии </t>
    </r>
    <r>
      <rPr>
        <b/>
        <sz val="10"/>
        <rFont val="Arial Cyr"/>
        <family val="0"/>
      </rPr>
      <t>50</t>
    </r>
    <r>
      <rPr>
        <sz val="10"/>
        <rFont val="Arial Cyr"/>
        <family val="0"/>
      </rPr>
      <t xml:space="preserve">;
~сцепления с основанием     </t>
    </r>
    <r>
      <rPr>
        <b/>
        <sz val="10"/>
        <rFont val="Arial Cyr"/>
        <family val="0"/>
      </rPr>
      <t xml:space="preserve">6
</t>
    </r>
    <r>
      <rPr>
        <sz val="10"/>
        <rFont val="Arial Cyr"/>
        <family val="0"/>
      </rPr>
      <t xml:space="preserve">
слой</t>
    </r>
    <r>
      <rPr>
        <b/>
        <sz val="10"/>
        <rFont val="Arial Cyr"/>
        <family val="0"/>
      </rPr>
      <t xml:space="preserve"> 10-25 </t>
    </r>
    <r>
      <rPr>
        <sz val="10"/>
        <rFont val="Arial Cyr"/>
        <family val="0"/>
      </rPr>
      <t>мм</t>
    </r>
  </si>
  <si>
    <t>+ Пригодна для отделки и ремонта фасадов зданий.</t>
  </si>
  <si>
    <t>Лучший выбор для фасадов кирпичных и бетонных стен</t>
  </si>
  <si>
    <t>+ Технология "Без трещин" ("NO CRACS" TECHNOLOGY).</t>
  </si>
  <si>
    <t xml:space="preserve">+ Для всех видов кафельной плитки. </t>
  </si>
  <si>
    <t xml:space="preserve">+ Пластичный, удобно наносится. </t>
  </si>
  <si>
    <t xml:space="preserve">+ Для всех видов и размеров плитки и камня. </t>
  </si>
  <si>
    <t xml:space="preserve">+ Для влажных и нагруженных помещений. </t>
  </si>
  <si>
    <t>Лучший выбор для отделки квартир коттеждей, магазинов.</t>
  </si>
  <si>
    <t>Лучший выбор для устройства грубой стяжки</t>
  </si>
  <si>
    <t xml:space="preserve">+ Максимальная толщина слоя не ограничена. </t>
  </si>
  <si>
    <t xml:space="preserve">+ Максимальная прочность на сжатие. </t>
  </si>
  <si>
    <t xml:space="preserve">+ Высокая растекаемость при  разравнивании игольчатым валиком. </t>
  </si>
  <si>
    <t>Лучший выбор для быстрого выравнивания пола</t>
  </si>
  <si>
    <t xml:space="preserve">+ Технология "Без трещин" ("NO CRACS" TECHNOLOGY). </t>
  </si>
  <si>
    <t>+ Высокая прочность на сжатие и сцепления с основанием.</t>
  </si>
  <si>
    <t>+ Быстрый набор прочности.</t>
  </si>
  <si>
    <t xml:space="preserve">+ Максимальная растекаемость при  минимальном разравнивании. </t>
  </si>
  <si>
    <t xml:space="preserve">+ Высокая прочность на сжатие и сцепления с основанием. </t>
  </si>
  <si>
    <t xml:space="preserve">+ Быстрый набор прочности. </t>
  </si>
  <si>
    <t>Избыточное качество</t>
  </si>
  <si>
    <t xml:space="preserve">+ Оптимальное сцепление с основанием. Пластичная. </t>
  </si>
  <si>
    <t>+ Пригодна для влажных помещений.</t>
  </si>
  <si>
    <t>Лучший выбор для общестроительных работ</t>
  </si>
  <si>
    <t xml:space="preserve">+ Высокая прочность на сжатие. </t>
  </si>
  <si>
    <t>Наименование, 
международный  код</t>
  </si>
  <si>
    <r>
      <t xml:space="preserve">ОСНОВАНИЕ 
ДЛЯ ПОЛА
</t>
    </r>
    <r>
      <rPr>
        <sz val="10"/>
        <rFont val="Arial Cyr"/>
        <family val="0"/>
      </rPr>
      <t>RF-41 25кг</t>
    </r>
  </si>
  <si>
    <r>
      <t xml:space="preserve">ДЛЯ ГРУБОГО ВЫРАВНИВАНИЯ
</t>
    </r>
    <r>
      <rPr>
        <sz val="10"/>
        <rFont val="Arial Cyr"/>
        <family val="0"/>
      </rPr>
      <t>RC-21 25кг</t>
    </r>
  </si>
  <si>
    <r>
      <t>LIGHT</t>
    </r>
    <r>
      <rPr>
        <sz val="14"/>
        <rFont val="Arial Cyr"/>
        <family val="0"/>
      </rPr>
      <t xml:space="preserve"> 
</t>
    </r>
    <r>
      <rPr>
        <b/>
        <sz val="14"/>
        <rFont val="Arial Cyr"/>
        <family val="0"/>
      </rPr>
      <t xml:space="preserve">экономичный </t>
    </r>
    <r>
      <rPr>
        <sz val="10"/>
        <rFont val="Arial Cyr"/>
        <family val="0"/>
      </rPr>
      <t xml:space="preserve">
RCL-12 25кг</t>
    </r>
  </si>
  <si>
    <r>
      <t>CLASSIC</t>
    </r>
    <r>
      <rPr>
        <sz val="10"/>
        <rFont val="Arial Cyr"/>
        <family val="0"/>
      </rPr>
      <t xml:space="preserve"> 
</t>
    </r>
    <r>
      <rPr>
        <b/>
        <sz val="14"/>
        <rFont val="Arial Cyr"/>
        <family val="0"/>
      </rPr>
      <t>усиленный</t>
    </r>
    <r>
      <rPr>
        <sz val="10"/>
        <rFont val="Arial Cyr"/>
        <family val="0"/>
      </rPr>
      <t xml:space="preserve">
RCC-14 25кг</t>
    </r>
  </si>
  <si>
    <r>
      <t xml:space="preserve">ФАСАДНАЯ 
( до -10оС)
</t>
    </r>
    <r>
      <rPr>
        <sz val="10"/>
        <rFont val="Arial Cyr"/>
        <family val="0"/>
      </rPr>
      <t>RС-28 25кг</t>
    </r>
  </si>
  <si>
    <t>Лучший выбор для обычных плиточных работ</t>
  </si>
  <si>
    <t xml:space="preserve">+ Высокая прочность сцепления с основанием. </t>
  </si>
  <si>
    <t>+ Наносится при температуре до -10оС. Влагостойкая. Морозостойкая.</t>
  </si>
  <si>
    <t>+ Отсутствуют крупные фракции и примеси глины</t>
  </si>
  <si>
    <t>+ Гарантированная прочность</t>
  </si>
  <si>
    <t>+ Повышенная прочность</t>
  </si>
  <si>
    <t>Лучший выбор для кладочных и общестроительных работ</t>
  </si>
  <si>
    <r>
      <t>СМЕСЬ М-100
кладочная</t>
    </r>
    <r>
      <rPr>
        <sz val="14"/>
        <rFont val="Arial Cyr"/>
        <family val="0"/>
      </rPr>
      <t xml:space="preserve">
</t>
    </r>
    <r>
      <rPr>
        <sz val="10"/>
        <rFont val="Arial Cyr"/>
        <family val="0"/>
      </rPr>
      <t>RK-52 25кг</t>
    </r>
  </si>
  <si>
    <t>Лучший выбор для высококачественной кладки и ремонтов</t>
  </si>
  <si>
    <r>
      <t xml:space="preserve">~при сжатии </t>
    </r>
    <r>
      <rPr>
        <b/>
        <sz val="10"/>
        <rFont val="Arial Cyr"/>
        <family val="0"/>
      </rPr>
      <t>150</t>
    </r>
    <r>
      <rPr>
        <sz val="10"/>
        <rFont val="Arial Cyr"/>
        <family val="0"/>
      </rPr>
      <t xml:space="preserve">;
~сцепления с основанием     </t>
    </r>
    <r>
      <rPr>
        <b/>
        <sz val="10"/>
        <rFont val="Arial Cyr"/>
        <family val="0"/>
      </rPr>
      <t>4</t>
    </r>
  </si>
  <si>
    <t>Производство:</t>
  </si>
  <si>
    <t>Кладочные и специальные смеси</t>
  </si>
  <si>
    <t>Прайс-лист</t>
  </si>
  <si>
    <r>
      <t>СМЕСЬ М-150
универсальная</t>
    </r>
    <r>
      <rPr>
        <sz val="14"/>
        <rFont val="Arial Cyr"/>
        <family val="0"/>
      </rPr>
      <t xml:space="preserve">
</t>
    </r>
    <r>
      <rPr>
        <sz val="10"/>
        <rFont val="Arial Cyr"/>
        <family val="0"/>
      </rPr>
      <t>RK-55 25кг</t>
    </r>
  </si>
  <si>
    <t xml:space="preserve">+ Оптимальная прочность и адгезия (сцепление с поверхностями). </t>
  </si>
  <si>
    <t>+ Повышенные прочность и адгезия (сцепление с поверхностями).</t>
  </si>
  <si>
    <t xml:space="preserve">+ Высокая прочность на сжатие.  Хорошее сцепление с основанием. Пластичная. </t>
  </si>
  <si>
    <t xml:space="preserve">+ Технология "Без трещин"("NO CRACS" TECHNOLOGY)с волокном. </t>
  </si>
  <si>
    <r>
      <t>САМОНИВЕЛИ-РУЮЩИЙСЯ ПОЛ</t>
    </r>
    <r>
      <rPr>
        <b/>
        <sz val="11"/>
        <rFont val="Arial Cyr"/>
        <family val="0"/>
      </rPr>
      <t xml:space="preserve">
</t>
    </r>
    <r>
      <rPr>
        <sz val="10"/>
        <rFont val="Arial Cyr"/>
        <family val="0"/>
      </rPr>
      <t>RF-43 20кг</t>
    </r>
  </si>
  <si>
    <t xml:space="preserve">    ООО "ТД "Резолит"</t>
  </si>
  <si>
    <t>г. Пермь, Промучасток, 42.</t>
  </si>
  <si>
    <t xml:space="preserve">Наш сайт: </t>
  </si>
  <si>
    <t>www.tdrezolit.ru</t>
  </si>
  <si>
    <t>Офис продаж:</t>
  </si>
  <si>
    <t>г. Пермь, Братская, 135/3-1</t>
  </si>
  <si>
    <t>Адрес склада:</t>
  </si>
  <si>
    <t>Мини-мальная цена, руб/меш от 1.5 до 10 тонн</t>
  </si>
  <si>
    <t>Рекомен-дованая, руб/меш от 1 мешка</t>
  </si>
  <si>
    <t>AAAAAG/37N4=</t>
  </si>
  <si>
    <t xml:space="preserve">Контакты: </t>
  </si>
  <si>
    <t>Сергей: 89824620494, E-mail: ligeo@yandex.ru, ICQ: 454544551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</si>
</sst>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vertical="top" wrapText="1"/>
    </xf>
    <xf numFmtId="1" fontId="3" fillId="0" borderId="12" xfId="0" applyNumberFormat="1" applyFont="1" applyBorder="1" applyAlignment="1">
      <alignment vertical="top" wrapText="1"/>
    </xf>
    <xf numFmtId="1" fontId="3" fillId="0" borderId="13" xfId="0" applyNumberFormat="1" applyFont="1" applyBorder="1" applyAlignment="1">
      <alignment vertical="top" wrapText="1"/>
    </xf>
    <xf numFmtId="1" fontId="3" fillId="0" borderId="14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vertical="top" wrapText="1"/>
    </xf>
    <xf numFmtId="49" fontId="6" fillId="0" borderId="17" xfId="0" applyNumberFormat="1" applyFont="1" applyBorder="1" applyAlignment="1">
      <alignment vertical="top" wrapText="1"/>
    </xf>
    <xf numFmtId="49" fontId="8" fillId="0" borderId="18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1" fontId="3" fillId="0" borderId="15" xfId="0" applyNumberFormat="1" applyFont="1" applyBorder="1" applyAlignment="1">
      <alignment vertical="top" wrapText="1"/>
    </xf>
    <xf numFmtId="1" fontId="3" fillId="0" borderId="18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42" applyFont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 horizontal="right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2066925</xdr:colOff>
      <xdr:row>0</xdr:row>
      <xdr:rowOff>0</xdr:rowOff>
    </xdr:from>
    <xdr:to>
      <xdr:col>2</xdr:col>
      <xdr:colOff>1076325</xdr:colOff>
      <xdr:row>4</xdr:row>
      <xdr:rowOff>409575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4200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rezoli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Layout" workbookViewId="0" topLeftCell="A43">
      <selection activeCell="B56" sqref="B56"/>
    </sheetView>
  </sheetViews>
  <sheetFormatPr defaultColWidth="9.00390625" defaultRowHeight="12.75" outlineLevelCol="2"/>
  <cols>
    <col min="1" max="1" width="24.75390625" style="9" customWidth="1"/>
    <col min="2" max="2" width="68.125" style="22" customWidth="1"/>
    <col min="3" max="3" width="15.75390625" style="1" customWidth="1"/>
    <col min="4" max="4" width="8.875" style="18" customWidth="1" outlineLevel="1"/>
    <col min="5" max="5" width="8.875" style="18" customWidth="1" outlineLevel="2"/>
    <col min="6" max="6" width="9.625" style="1" customWidth="1"/>
    <col min="7" max="16384" width="9.125" style="1" customWidth="1"/>
  </cols>
  <sheetData>
    <row r="1" spans="4:5" ht="29.25" customHeight="1">
      <c r="D1" s="19"/>
      <c r="E1" s="20" t="s">
        <v>57</v>
      </c>
    </row>
    <row r="2" spans="1:5" s="3" customFormat="1" ht="14.25" customHeight="1">
      <c r="A2" s="56" t="s">
        <v>2</v>
      </c>
      <c r="B2" s="56"/>
      <c r="D2" s="19"/>
      <c r="E2" s="21">
        <v>40585</v>
      </c>
    </row>
    <row r="3" spans="1:5" s="3" customFormat="1" ht="15" customHeight="1">
      <c r="A3" s="56" t="s">
        <v>6</v>
      </c>
      <c r="B3" s="56"/>
      <c r="D3" s="19"/>
      <c r="E3" s="19"/>
    </row>
    <row r="4" spans="1:5" s="3" customFormat="1" ht="14.25" customHeight="1">
      <c r="A4" s="10"/>
      <c r="B4" s="23"/>
      <c r="D4" s="19"/>
      <c r="E4" s="37"/>
    </row>
    <row r="5" spans="2:5" ht="38.25" customHeight="1">
      <c r="B5" s="65"/>
      <c r="C5" s="65"/>
      <c r="D5" s="19"/>
      <c r="E5" s="2"/>
    </row>
    <row r="6" spans="1:5" s="6" customFormat="1" ht="84.75" customHeight="1">
      <c r="A6" s="5" t="s">
        <v>39</v>
      </c>
      <c r="B6" s="24" t="s">
        <v>1</v>
      </c>
      <c r="C6" s="5" t="s">
        <v>7</v>
      </c>
      <c r="D6" s="49" t="s">
        <v>71</v>
      </c>
      <c r="E6" s="49" t="s">
        <v>72</v>
      </c>
    </row>
    <row r="7" spans="1:5" s="2" customFormat="1" ht="15" customHeight="1">
      <c r="A7" s="50" t="s">
        <v>0</v>
      </c>
      <c r="B7" s="51"/>
      <c r="C7" s="51"/>
      <c r="D7" s="51"/>
      <c r="E7" s="52"/>
    </row>
    <row r="8" spans="1:5" ht="15" customHeight="1">
      <c r="A8" s="63" t="s">
        <v>42</v>
      </c>
      <c r="B8" s="25" t="s">
        <v>59</v>
      </c>
      <c r="C8" s="57" t="s">
        <v>4</v>
      </c>
      <c r="D8" s="38">
        <v>127.77777777777777</v>
      </c>
      <c r="E8" s="39">
        <v>138</v>
      </c>
    </row>
    <row r="9" spans="1:5" ht="15" customHeight="1">
      <c r="A9" s="59"/>
      <c r="B9" s="26" t="s">
        <v>18</v>
      </c>
      <c r="C9" s="53"/>
      <c r="D9" s="13"/>
      <c r="E9" s="14"/>
    </row>
    <row r="10" spans="1:5" ht="15" customHeight="1">
      <c r="A10" s="59"/>
      <c r="B10" s="26" t="s">
        <v>19</v>
      </c>
      <c r="C10" s="53"/>
      <c r="D10" s="13"/>
      <c r="E10" s="14"/>
    </row>
    <row r="11" spans="1:5" ht="15" customHeight="1">
      <c r="A11" s="60"/>
      <c r="B11" s="27" t="s">
        <v>45</v>
      </c>
      <c r="C11" s="58"/>
      <c r="D11" s="15"/>
      <c r="E11" s="16"/>
    </row>
    <row r="12" spans="1:5" ht="15" customHeight="1">
      <c r="A12" s="59" t="s">
        <v>43</v>
      </c>
      <c r="B12" s="26" t="s">
        <v>60</v>
      </c>
      <c r="C12" s="53" t="s">
        <v>5</v>
      </c>
      <c r="D12" s="38">
        <v>136</v>
      </c>
      <c r="E12" s="14">
        <v>148</v>
      </c>
    </row>
    <row r="13" spans="1:5" ht="15" customHeight="1">
      <c r="A13" s="59"/>
      <c r="B13" s="26" t="s">
        <v>20</v>
      </c>
      <c r="C13" s="53"/>
      <c r="D13" s="13"/>
      <c r="E13" s="14"/>
    </row>
    <row r="14" spans="1:5" ht="15" customHeight="1">
      <c r="A14" s="59"/>
      <c r="B14" s="26" t="s">
        <v>21</v>
      </c>
      <c r="C14" s="53"/>
      <c r="D14" s="13"/>
      <c r="E14" s="14"/>
    </row>
    <row r="15" spans="1:5" ht="15" customHeight="1">
      <c r="A15" s="59"/>
      <c r="B15" s="28" t="s">
        <v>22</v>
      </c>
      <c r="C15" s="53"/>
      <c r="D15" s="13"/>
      <c r="E15" s="14"/>
    </row>
    <row r="16" spans="1:5" s="2" customFormat="1" ht="15" customHeight="1">
      <c r="A16" s="50" t="s">
        <v>3</v>
      </c>
      <c r="B16" s="51"/>
      <c r="C16" s="51"/>
      <c r="D16" s="51"/>
      <c r="E16" s="52"/>
    </row>
    <row r="17" spans="1:5" ht="15" customHeight="1">
      <c r="A17" s="54" t="s">
        <v>40</v>
      </c>
      <c r="B17" s="29" t="s">
        <v>62</v>
      </c>
      <c r="C17" s="53" t="s">
        <v>10</v>
      </c>
      <c r="D17" s="38">
        <v>119</v>
      </c>
      <c r="E17" s="14">
        <v>129</v>
      </c>
    </row>
    <row r="18" spans="1:5" ht="15" customHeight="1">
      <c r="A18" s="68"/>
      <c r="B18" s="29" t="s">
        <v>24</v>
      </c>
      <c r="C18" s="53"/>
      <c r="D18" s="13"/>
      <c r="E18" s="14"/>
    </row>
    <row r="19" spans="1:5" ht="15" customHeight="1">
      <c r="A19" s="68"/>
      <c r="B19" s="29" t="s">
        <v>25</v>
      </c>
      <c r="C19" s="53"/>
      <c r="D19" s="13"/>
      <c r="E19" s="14"/>
    </row>
    <row r="20" spans="1:5" ht="15" customHeight="1">
      <c r="A20" s="68"/>
      <c r="B20" s="29" t="s">
        <v>46</v>
      </c>
      <c r="C20" s="53"/>
      <c r="D20" s="13"/>
      <c r="E20" s="14"/>
    </row>
    <row r="21" spans="1:5" ht="15" customHeight="1">
      <c r="A21" s="68"/>
      <c r="B21" s="23" t="s">
        <v>23</v>
      </c>
      <c r="C21" s="53"/>
      <c r="D21" s="13"/>
      <c r="E21" s="14"/>
    </row>
    <row r="22" spans="1:5" ht="15" customHeight="1">
      <c r="A22" s="66" t="s">
        <v>8</v>
      </c>
      <c r="B22" s="30" t="s">
        <v>28</v>
      </c>
      <c r="C22" s="57" t="s">
        <v>11</v>
      </c>
      <c r="D22" s="38">
        <v>151</v>
      </c>
      <c r="E22" s="39">
        <v>166</v>
      </c>
    </row>
    <row r="23" spans="1:5" ht="15" customHeight="1">
      <c r="A23" s="54"/>
      <c r="B23" s="29" t="s">
        <v>26</v>
      </c>
      <c r="C23" s="53"/>
      <c r="D23" s="13"/>
      <c r="E23" s="14"/>
    </row>
    <row r="24" spans="1:5" ht="15" customHeight="1">
      <c r="A24" s="54"/>
      <c r="B24" s="29" t="s">
        <v>29</v>
      </c>
      <c r="C24" s="53"/>
      <c r="D24" s="13"/>
      <c r="E24" s="14"/>
    </row>
    <row r="25" spans="1:5" ht="15" customHeight="1">
      <c r="A25" s="54"/>
      <c r="B25" s="29" t="s">
        <v>30</v>
      </c>
      <c r="C25" s="53"/>
      <c r="D25" s="13"/>
      <c r="E25" s="14"/>
    </row>
    <row r="26" spans="1:5" ht="15" customHeight="1">
      <c r="A26" s="67"/>
      <c r="B26" s="31" t="s">
        <v>27</v>
      </c>
      <c r="C26" s="58"/>
      <c r="D26" s="15"/>
      <c r="E26" s="16"/>
    </row>
    <row r="27" spans="1:5" ht="15" customHeight="1">
      <c r="A27" s="54" t="s">
        <v>63</v>
      </c>
      <c r="B27" s="29" t="s">
        <v>28</v>
      </c>
      <c r="C27" s="53" t="s">
        <v>13</v>
      </c>
      <c r="D27" s="38">
        <v>264.814814814815</v>
      </c>
      <c r="E27" s="14">
        <v>287</v>
      </c>
    </row>
    <row r="28" spans="1:5" ht="15" customHeight="1">
      <c r="A28" s="55"/>
      <c r="B28" s="29" t="s">
        <v>31</v>
      </c>
      <c r="C28" s="53"/>
      <c r="D28" s="13"/>
      <c r="E28" s="14"/>
    </row>
    <row r="29" spans="1:5" ht="15" customHeight="1">
      <c r="A29" s="55"/>
      <c r="B29" s="29" t="s">
        <v>32</v>
      </c>
      <c r="C29" s="53"/>
      <c r="D29" s="13"/>
      <c r="E29" s="14"/>
    </row>
    <row r="30" spans="1:5" ht="15" customHeight="1">
      <c r="A30" s="55"/>
      <c r="B30" s="29" t="s">
        <v>33</v>
      </c>
      <c r="C30" s="53"/>
      <c r="D30" s="13"/>
      <c r="E30" s="14"/>
    </row>
    <row r="31" spans="1:5" ht="15" customHeight="1">
      <c r="A31" s="55"/>
      <c r="B31" s="23" t="s">
        <v>34</v>
      </c>
      <c r="C31" s="53"/>
      <c r="D31" s="13"/>
      <c r="E31" s="14"/>
    </row>
    <row r="32" spans="1:5" s="2" customFormat="1" ht="15" customHeight="1">
      <c r="A32" s="50" t="s">
        <v>9</v>
      </c>
      <c r="B32" s="51"/>
      <c r="C32" s="51"/>
      <c r="D32" s="51"/>
      <c r="E32" s="52"/>
    </row>
    <row r="33" spans="1:5" s="2" customFormat="1" ht="15" customHeight="1">
      <c r="A33" s="67" t="s">
        <v>41</v>
      </c>
      <c r="B33" s="29" t="s">
        <v>38</v>
      </c>
      <c r="C33" s="53" t="s">
        <v>12</v>
      </c>
      <c r="D33" s="38">
        <v>101.85185185185185</v>
      </c>
      <c r="E33" s="14">
        <v>110</v>
      </c>
    </row>
    <row r="34" spans="1:5" s="2" customFormat="1" ht="15" customHeight="1">
      <c r="A34" s="69"/>
      <c r="B34" s="29" t="s">
        <v>35</v>
      </c>
      <c r="C34" s="53"/>
      <c r="D34" s="13"/>
      <c r="E34" s="14"/>
    </row>
    <row r="35" spans="1:5" s="2" customFormat="1" ht="15" customHeight="1">
      <c r="A35" s="69"/>
      <c r="B35" s="29" t="s">
        <v>36</v>
      </c>
      <c r="C35" s="53"/>
      <c r="D35" s="13"/>
      <c r="E35" s="14"/>
    </row>
    <row r="36" spans="1:5" s="2" customFormat="1" ht="15" customHeight="1">
      <c r="A36" s="69"/>
      <c r="B36" s="23" t="s">
        <v>37</v>
      </c>
      <c r="C36" s="53"/>
      <c r="D36" s="13"/>
      <c r="E36" s="14"/>
    </row>
    <row r="37" spans="1:5" s="2" customFormat="1" ht="15" customHeight="1">
      <c r="A37" s="69"/>
      <c r="B37" s="29"/>
      <c r="C37" s="53"/>
      <c r="D37" s="13"/>
      <c r="E37" s="14"/>
    </row>
    <row r="38" spans="1:5" ht="15" customHeight="1">
      <c r="A38" s="64" t="s">
        <v>44</v>
      </c>
      <c r="B38" s="32" t="s">
        <v>47</v>
      </c>
      <c r="C38" s="57" t="s">
        <v>14</v>
      </c>
      <c r="D38" s="38">
        <v>146</v>
      </c>
      <c r="E38" s="39">
        <v>160</v>
      </c>
    </row>
    <row r="39" spans="1:5" ht="15" customHeight="1">
      <c r="A39" s="64"/>
      <c r="B39" s="33" t="s">
        <v>17</v>
      </c>
      <c r="C39" s="53"/>
      <c r="D39" s="13"/>
      <c r="E39" s="14"/>
    </row>
    <row r="40" spans="1:5" ht="15" customHeight="1">
      <c r="A40" s="64"/>
      <c r="B40" s="33" t="s">
        <v>61</v>
      </c>
      <c r="C40" s="53"/>
      <c r="D40" s="13"/>
      <c r="E40" s="14"/>
    </row>
    <row r="41" spans="1:5" ht="15" customHeight="1">
      <c r="A41" s="64"/>
      <c r="B41" s="33" t="s">
        <v>15</v>
      </c>
      <c r="C41" s="53"/>
      <c r="D41" s="13"/>
      <c r="E41" s="14"/>
    </row>
    <row r="42" spans="1:5" ht="17.25" customHeight="1">
      <c r="A42" s="64"/>
      <c r="B42" s="34" t="s">
        <v>16</v>
      </c>
      <c r="C42" s="58"/>
      <c r="D42" s="15"/>
      <c r="E42" s="16"/>
    </row>
    <row r="43" spans="1:5" s="2" customFormat="1" ht="15" customHeight="1">
      <c r="A43" s="50" t="s">
        <v>56</v>
      </c>
      <c r="B43" s="51"/>
      <c r="C43" s="51"/>
      <c r="D43" s="61"/>
      <c r="E43" s="62"/>
    </row>
    <row r="44" spans="1:5" ht="15" customHeight="1">
      <c r="A44" s="59" t="s">
        <v>52</v>
      </c>
      <c r="B44" s="26" t="s">
        <v>48</v>
      </c>
      <c r="C44" s="53" t="s">
        <v>4</v>
      </c>
      <c r="D44" s="38">
        <v>84</v>
      </c>
      <c r="E44" s="39">
        <v>89</v>
      </c>
    </row>
    <row r="45" spans="1:5" ht="15" customHeight="1">
      <c r="A45" s="59"/>
      <c r="B45" s="26" t="s">
        <v>49</v>
      </c>
      <c r="C45" s="53"/>
      <c r="D45" s="13"/>
      <c r="E45" s="14"/>
    </row>
    <row r="46" spans="1:5" ht="15" customHeight="1">
      <c r="A46" s="59"/>
      <c r="B46" s="28" t="s">
        <v>51</v>
      </c>
      <c r="C46" s="53"/>
      <c r="D46" s="40"/>
      <c r="E46" s="41"/>
    </row>
    <row r="47" spans="1:5" ht="15" customHeight="1">
      <c r="A47" s="60"/>
      <c r="B47" s="26"/>
      <c r="C47" s="58"/>
      <c r="D47" s="40"/>
      <c r="E47" s="41"/>
    </row>
    <row r="48" spans="1:5" ht="15" customHeight="1">
      <c r="A48" s="63" t="s">
        <v>58</v>
      </c>
      <c r="B48" s="25" t="s">
        <v>48</v>
      </c>
      <c r="C48" s="57" t="s">
        <v>54</v>
      </c>
      <c r="D48" s="38">
        <v>88</v>
      </c>
      <c r="E48" s="38">
        <v>93</v>
      </c>
    </row>
    <row r="49" spans="1:5" ht="15" customHeight="1">
      <c r="A49" s="59"/>
      <c r="B49" s="26" t="s">
        <v>50</v>
      </c>
      <c r="C49" s="53"/>
      <c r="D49" s="13"/>
      <c r="E49" s="14"/>
    </row>
    <row r="50" spans="1:5" ht="15" customHeight="1">
      <c r="A50" s="59"/>
      <c r="B50" s="28" t="s">
        <v>53</v>
      </c>
      <c r="C50" s="53"/>
      <c r="D50" s="40"/>
      <c r="E50" s="41"/>
    </row>
    <row r="51" spans="1:5" ht="15" customHeight="1">
      <c r="A51" s="60"/>
      <c r="B51" s="42"/>
      <c r="C51" s="58"/>
      <c r="D51" s="43"/>
      <c r="E51" s="44"/>
    </row>
    <row r="52" spans="1:5" ht="15" customHeight="1">
      <c r="A52" s="12"/>
      <c r="B52" s="23"/>
      <c r="C52" s="4"/>
      <c r="D52" s="17"/>
      <c r="E52" s="17"/>
    </row>
    <row r="53" spans="1:5" s="7" customFormat="1" ht="18">
      <c r="A53" s="45" t="s">
        <v>55</v>
      </c>
      <c r="B53" s="45" t="s">
        <v>64</v>
      </c>
      <c r="D53" s="18"/>
      <c r="E53" s="18"/>
    </row>
    <row r="54" spans="1:5" s="7" customFormat="1" ht="18">
      <c r="A54" s="45" t="s">
        <v>68</v>
      </c>
      <c r="B54" s="46" t="s">
        <v>69</v>
      </c>
      <c r="D54" s="18"/>
      <c r="E54" s="18"/>
    </row>
    <row r="55" spans="1:5" s="8" customFormat="1" ht="18">
      <c r="A55" s="45" t="s">
        <v>70</v>
      </c>
      <c r="B55" s="47" t="s">
        <v>65</v>
      </c>
      <c r="D55" s="18"/>
      <c r="E55" s="18"/>
    </row>
    <row r="56" spans="1:5" s="8" customFormat="1" ht="18">
      <c r="A56" s="45" t="s">
        <v>74</v>
      </c>
      <c r="B56" s="47" t="s">
        <v>75</v>
      </c>
      <c r="D56" s="18"/>
      <c r="E56" s="18"/>
    </row>
    <row r="57" spans="1:5" s="8" customFormat="1" ht="18">
      <c r="A57" s="45"/>
      <c r="B57" s="47"/>
      <c r="D57" s="18"/>
      <c r="E57" s="18"/>
    </row>
    <row r="58" spans="1:5" s="8" customFormat="1" ht="18">
      <c r="A58" s="45" t="s">
        <v>66</v>
      </c>
      <c r="B58" s="48" t="s">
        <v>67</v>
      </c>
      <c r="D58" s="18"/>
      <c r="E58" s="18"/>
    </row>
    <row r="59" spans="1:5" s="8" customFormat="1" ht="18">
      <c r="A59" s="11"/>
      <c r="B59" s="35"/>
      <c r="D59" s="18"/>
      <c r="E59" s="18"/>
    </row>
    <row r="60" spans="1:5" s="8" customFormat="1" ht="18">
      <c r="A60" s="11"/>
      <c r="B60" s="36"/>
      <c r="D60" s="18"/>
      <c r="E60" s="18"/>
    </row>
    <row r="61" spans="1:5" s="8" customFormat="1" ht="18">
      <c r="A61" s="11"/>
      <c r="B61" s="36"/>
      <c r="D61" s="18"/>
      <c r="E61" s="18"/>
    </row>
    <row r="62" spans="1:5" s="8" customFormat="1" ht="18">
      <c r="A62" s="11"/>
      <c r="B62" s="36"/>
      <c r="D62" s="18"/>
      <c r="E62" s="18"/>
    </row>
    <row r="63" spans="1:5" s="8" customFormat="1" ht="18">
      <c r="A63" s="11"/>
      <c r="B63" s="36"/>
      <c r="D63" s="18"/>
      <c r="E63" s="18"/>
    </row>
    <row r="64" spans="1:3" ht="18">
      <c r="A64" s="11"/>
      <c r="B64" s="36"/>
      <c r="C64" s="8"/>
    </row>
    <row r="65" spans="1:3" ht="18">
      <c r="A65" s="11"/>
      <c r="B65" s="36"/>
      <c r="C65" s="8"/>
    </row>
    <row r="66" spans="1:3" ht="18">
      <c r="A66" s="11"/>
      <c r="B66" s="36"/>
      <c r="C66" s="8"/>
    </row>
    <row r="67" spans="2:3" ht="18">
      <c r="B67" s="35"/>
      <c r="C67" s="8"/>
    </row>
    <row r="68" spans="1:3" ht="18">
      <c r="A68" s="11"/>
      <c r="B68" s="36"/>
      <c r="C68" s="8"/>
    </row>
    <row r="69" spans="1:3" ht="18">
      <c r="A69" s="11"/>
      <c r="B69" s="36"/>
      <c r="C69" s="8"/>
    </row>
    <row r="70" spans="1:3" ht="18">
      <c r="A70" s="1"/>
      <c r="C70" s="8"/>
    </row>
    <row r="71" spans="1:3" ht="18">
      <c r="A71" s="11"/>
      <c r="C71" s="8"/>
    </row>
    <row r="72" spans="1:3" ht="18">
      <c r="A72" s="11"/>
      <c r="B72" s="36"/>
      <c r="C72" s="8"/>
    </row>
    <row r="73" spans="1:3" ht="18">
      <c r="A73" s="11"/>
      <c r="C73" s="8"/>
    </row>
    <row r="74" spans="1:3" ht="18">
      <c r="A74" s="11"/>
      <c r="C74" s="8"/>
    </row>
    <row r="75" spans="1:3" ht="18">
      <c r="A75" s="11"/>
      <c r="C75" s="8"/>
    </row>
    <row r="76" spans="1:3" ht="18">
      <c r="A76" s="11"/>
      <c r="C76" s="8"/>
    </row>
  </sheetData>
  <sheetProtection/>
  <mergeCells count="25">
    <mergeCell ref="A48:A51"/>
    <mergeCell ref="C48:C51"/>
    <mergeCell ref="C27:C31"/>
    <mergeCell ref="A3:B3"/>
    <mergeCell ref="A38:A42"/>
    <mergeCell ref="C38:C42"/>
    <mergeCell ref="B5:C5"/>
    <mergeCell ref="A8:A11"/>
    <mergeCell ref="C8:C11"/>
    <mergeCell ref="A22:A26"/>
    <mergeCell ref="A2:B2"/>
    <mergeCell ref="C33:C37"/>
    <mergeCell ref="C22:C26"/>
    <mergeCell ref="A44:A47"/>
    <mergeCell ref="C44:C47"/>
    <mergeCell ref="A43:E43"/>
    <mergeCell ref="A17:A21"/>
    <mergeCell ref="A12:A15"/>
    <mergeCell ref="A33:A37"/>
    <mergeCell ref="A32:E32"/>
    <mergeCell ref="A16:E16"/>
    <mergeCell ref="A7:E7"/>
    <mergeCell ref="C17:C21"/>
    <mergeCell ref="A27:A31"/>
    <mergeCell ref="C12:C15"/>
  </mergeCells>
  <hyperlinks>
    <hyperlink ref="B58" r:id="rId1" display="www.tdrezolit.ru"/>
  </hyperlinks>
  <printOptions/>
  <pageMargins left="0.21" right="0.2" top="0.47" bottom="0.43" header="0.32" footer="0.93"/>
  <pageSetup fitToHeight="2" horizontalDpi="600" verticalDpi="600" orientation="portrait" paperSize="9" scale="73" r:id="rId3"/>
  <customProperties>
    <customPr name="DVSECTIONID" r:id="rId4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1">
      <selection activeCell="HO2" sqref="HO2"/>
    </sheetView>
  </sheetViews>
  <sheetFormatPr defaultColWidth="9.00390625" defaultRowHeight="12.75"/>
  <sheetData>
    <row r="1" spans="1:256" ht="12.75">
      <c r="A1">
        <f>IF(Лист1!1:1,"AAAAAF6/+QA=",0)</f>
        <v>0</v>
      </c>
      <c r="B1" t="e">
        <f>AND(Лист1!A1,"AAAAAF6/+QE=")</f>
        <v>#VALUE!</v>
      </c>
      <c r="C1" t="e">
        <f>AND(Лист1!B1,"AAAAAF6/+QI=")</f>
        <v>#VALUE!</v>
      </c>
      <c r="D1" t="e">
        <f>AND(Лист1!C1,"AAAAAF6/+QM=")</f>
        <v>#VALUE!</v>
      </c>
      <c r="E1" t="e">
        <f>AND(Лист1!#REF!,"AAAAAF6/+QQ=")</f>
        <v>#REF!</v>
      </c>
      <c r="F1" t="e">
        <f>AND(Лист1!D1,"AAAAAF6/+QU=")</f>
        <v>#VALUE!</v>
      </c>
      <c r="G1" t="e">
        <f>AND(Лист1!E1,"AAAAAF6/+QY=")</f>
        <v>#VALUE!</v>
      </c>
      <c r="H1">
        <f>IF(Лист1!2:2,"AAAAAF6/+Qc=",0)</f>
        <v>0</v>
      </c>
      <c r="I1" t="e">
        <f>AND(Лист1!A2,"AAAAAF6/+Qg=")</f>
        <v>#VALUE!</v>
      </c>
      <c r="J1" t="e">
        <f>AND(Лист1!B2,"AAAAAF6/+Qk=")</f>
        <v>#VALUE!</v>
      </c>
      <c r="K1" t="e">
        <f>AND(Лист1!C2,"AAAAAF6/+Qo=")</f>
        <v>#VALUE!</v>
      </c>
      <c r="L1" t="e">
        <f>AND(Лист1!#REF!,"AAAAAF6/+Qs=")</f>
        <v>#REF!</v>
      </c>
      <c r="M1" t="e">
        <f>AND(Лист1!D2,"AAAAAF6/+Qw=")</f>
        <v>#VALUE!</v>
      </c>
      <c r="N1" t="e">
        <f>AND(Лист1!E2,"AAAAAF6/+Q0=")</f>
        <v>#VALUE!</v>
      </c>
      <c r="O1">
        <f>IF(Лист1!3:3,"AAAAAF6/+Q4=",0)</f>
        <v>0</v>
      </c>
      <c r="P1" t="e">
        <f>AND(Лист1!A3,"AAAAAF6/+Q8=")</f>
        <v>#VALUE!</v>
      </c>
      <c r="Q1" t="e">
        <f>AND(Лист1!B3,"AAAAAF6/+RA=")</f>
        <v>#VALUE!</v>
      </c>
      <c r="R1" t="e">
        <f>AND(Лист1!C3,"AAAAAF6/+RE=")</f>
        <v>#VALUE!</v>
      </c>
      <c r="S1" t="e">
        <f>AND(Лист1!#REF!,"AAAAAF6/+RI=")</f>
        <v>#REF!</v>
      </c>
      <c r="T1" t="e">
        <f>AND(Лист1!D3,"AAAAAF6/+RM=")</f>
        <v>#VALUE!</v>
      </c>
      <c r="U1" t="e">
        <f>AND(Лист1!E3,"AAAAAF6/+RQ=")</f>
        <v>#VALUE!</v>
      </c>
      <c r="V1">
        <f>IF(Лист1!4:4,"AAAAAF6/+RU=",0)</f>
        <v>0</v>
      </c>
      <c r="W1" t="e">
        <f>AND(Лист1!A4,"AAAAAF6/+RY=")</f>
        <v>#VALUE!</v>
      </c>
      <c r="X1" t="e">
        <f>AND(Лист1!B4,"AAAAAF6/+Rc=")</f>
        <v>#VALUE!</v>
      </c>
      <c r="Y1" t="e">
        <f>AND(Лист1!C4,"AAAAAF6/+Rg=")</f>
        <v>#VALUE!</v>
      </c>
      <c r="Z1" t="e">
        <f>AND(Лист1!#REF!,"AAAAAF6/+Rk=")</f>
        <v>#REF!</v>
      </c>
      <c r="AA1" t="e">
        <f>AND(Лист1!D4,"AAAAAF6/+Ro=")</f>
        <v>#VALUE!</v>
      </c>
      <c r="AB1" t="e">
        <f>AND(Лист1!E4,"AAAAAF6/+Rs=")</f>
        <v>#VALUE!</v>
      </c>
      <c r="AC1">
        <f>IF(Лист1!5:5,"AAAAAF6/+Rw=",0)</f>
        <v>0</v>
      </c>
      <c r="AD1" t="e">
        <f>AND(Лист1!A5,"AAAAAF6/+R0=")</f>
        <v>#VALUE!</v>
      </c>
      <c r="AE1" t="e">
        <f>AND(Лист1!B5,"AAAAAF6/+R4=")</f>
        <v>#VALUE!</v>
      </c>
      <c r="AF1" t="e">
        <f>AND(Лист1!C5,"AAAAAF6/+R8=")</f>
        <v>#VALUE!</v>
      </c>
      <c r="AG1" t="e">
        <f>AND(Лист1!#REF!,"AAAAAF6/+SA=")</f>
        <v>#REF!</v>
      </c>
      <c r="AH1" t="e">
        <f>AND(Лист1!D5,"AAAAAF6/+SE=")</f>
        <v>#VALUE!</v>
      </c>
      <c r="AI1" t="e">
        <f>AND(Лист1!E5,"AAAAAF6/+SI=")</f>
        <v>#VALUE!</v>
      </c>
      <c r="AJ1">
        <f>IF(Лист1!6:6,"AAAAAF6/+SM=",0)</f>
        <v>0</v>
      </c>
      <c r="AK1" t="e">
        <f>AND(Лист1!A6,"AAAAAF6/+SQ=")</f>
        <v>#VALUE!</v>
      </c>
      <c r="AL1" t="e">
        <f>AND(Лист1!B6,"AAAAAF6/+SU=")</f>
        <v>#VALUE!</v>
      </c>
      <c r="AM1" t="e">
        <f>AND(Лист1!C6,"AAAAAF6/+SY=")</f>
        <v>#VALUE!</v>
      </c>
      <c r="AN1" t="e">
        <f>AND(Лист1!#REF!,"AAAAAF6/+Sc=")</f>
        <v>#REF!</v>
      </c>
      <c r="AO1" t="e">
        <f>AND(Лист1!D6,"AAAAAF6/+Sg=")</f>
        <v>#VALUE!</v>
      </c>
      <c r="AP1" t="e">
        <f>AND(Лист1!E6,"AAAAAF6/+Sk=")</f>
        <v>#VALUE!</v>
      </c>
      <c r="AQ1">
        <f>IF(Лист1!7:7,"AAAAAF6/+So=",0)</f>
        <v>0</v>
      </c>
      <c r="AR1" t="e">
        <f>AND(Лист1!A7,"AAAAAF6/+Ss=")</f>
        <v>#VALUE!</v>
      </c>
      <c r="AS1" t="e">
        <f>AND(Лист1!B7,"AAAAAF6/+Sw=")</f>
        <v>#VALUE!</v>
      </c>
      <c r="AT1" t="e">
        <f>AND(Лист1!C7,"AAAAAF6/+S0=")</f>
        <v>#VALUE!</v>
      </c>
      <c r="AU1" t="e">
        <f>AND(Лист1!#REF!,"AAAAAF6/+S4=")</f>
        <v>#REF!</v>
      </c>
      <c r="AV1" t="e">
        <f>AND(Лист1!D7,"AAAAAF6/+S8=")</f>
        <v>#VALUE!</v>
      </c>
      <c r="AW1" t="e">
        <f>AND(Лист1!E7,"AAAAAF6/+TA=")</f>
        <v>#VALUE!</v>
      </c>
      <c r="AX1">
        <f>IF(Лист1!8:8,"AAAAAF6/+TE=",0)</f>
        <v>0</v>
      </c>
      <c r="AY1" t="e">
        <f>AND(Лист1!A8,"AAAAAF6/+TI=")</f>
        <v>#VALUE!</v>
      </c>
      <c r="AZ1" t="e">
        <f>AND(Лист1!B8,"AAAAAF6/+TM=")</f>
        <v>#VALUE!</v>
      </c>
      <c r="BA1" t="e">
        <f>AND(Лист1!C8,"AAAAAF6/+TQ=")</f>
        <v>#VALUE!</v>
      </c>
      <c r="BB1" t="e">
        <f>AND(Лист1!#REF!,"AAAAAF6/+TU=")</f>
        <v>#REF!</v>
      </c>
      <c r="BC1" t="e">
        <f>AND(Лист1!D8,"AAAAAF6/+TY=")</f>
        <v>#VALUE!</v>
      </c>
      <c r="BD1" t="e">
        <f>AND(Лист1!E8,"AAAAAF6/+Tc=")</f>
        <v>#VALUE!</v>
      </c>
      <c r="BE1">
        <f>IF(Лист1!9:9,"AAAAAF6/+Tg=",0)</f>
        <v>0</v>
      </c>
      <c r="BF1" t="e">
        <f>AND(Лист1!A9,"AAAAAF6/+Tk=")</f>
        <v>#VALUE!</v>
      </c>
      <c r="BG1" t="e">
        <f>AND(Лист1!B9,"AAAAAF6/+To=")</f>
        <v>#VALUE!</v>
      </c>
      <c r="BH1" t="e">
        <f>AND(Лист1!C9,"AAAAAF6/+Ts=")</f>
        <v>#VALUE!</v>
      </c>
      <c r="BI1" t="e">
        <f>AND(Лист1!#REF!,"AAAAAF6/+Tw=")</f>
        <v>#REF!</v>
      </c>
      <c r="BJ1" t="e">
        <f>AND(Лист1!D9,"AAAAAF6/+T0=")</f>
        <v>#VALUE!</v>
      </c>
      <c r="BK1" t="e">
        <f>AND(Лист1!E9,"AAAAAF6/+T4=")</f>
        <v>#VALUE!</v>
      </c>
      <c r="BL1">
        <f>IF(Лист1!10:10,"AAAAAF6/+T8=",0)</f>
        <v>0</v>
      </c>
      <c r="BM1" t="e">
        <f>AND(Лист1!A10,"AAAAAF6/+UA=")</f>
        <v>#VALUE!</v>
      </c>
      <c r="BN1" t="e">
        <f>AND(Лист1!B10,"AAAAAF6/+UE=")</f>
        <v>#VALUE!</v>
      </c>
      <c r="BO1" t="e">
        <f>AND(Лист1!C10,"AAAAAF6/+UI=")</f>
        <v>#VALUE!</v>
      </c>
      <c r="BP1" t="e">
        <f>AND(Лист1!#REF!,"AAAAAF6/+UM=")</f>
        <v>#REF!</v>
      </c>
      <c r="BQ1" t="e">
        <f>AND(Лист1!D10,"AAAAAF6/+UQ=")</f>
        <v>#VALUE!</v>
      </c>
      <c r="BR1" t="e">
        <f>AND(Лист1!E10,"AAAAAF6/+UU=")</f>
        <v>#VALUE!</v>
      </c>
      <c r="BS1">
        <f>IF(Лист1!11:11,"AAAAAF6/+UY=",0)</f>
        <v>0</v>
      </c>
      <c r="BT1" t="e">
        <f>AND(Лист1!A11,"AAAAAF6/+Uc=")</f>
        <v>#VALUE!</v>
      </c>
      <c r="BU1" t="e">
        <f>AND(Лист1!B11,"AAAAAF6/+Ug=")</f>
        <v>#VALUE!</v>
      </c>
      <c r="BV1" t="e">
        <f>AND(Лист1!C11,"AAAAAF6/+Uk=")</f>
        <v>#VALUE!</v>
      </c>
      <c r="BW1" t="e">
        <f>AND(Лист1!#REF!,"AAAAAF6/+Uo=")</f>
        <v>#REF!</v>
      </c>
      <c r="BX1" t="e">
        <f>AND(Лист1!D11,"AAAAAF6/+Us=")</f>
        <v>#VALUE!</v>
      </c>
      <c r="BY1" t="e">
        <f>AND(Лист1!E11,"AAAAAF6/+Uw=")</f>
        <v>#VALUE!</v>
      </c>
      <c r="BZ1">
        <f>IF(Лист1!12:12,"AAAAAF6/+U0=",0)</f>
        <v>0</v>
      </c>
      <c r="CA1" t="e">
        <f>AND(Лист1!A12,"AAAAAF6/+U4=")</f>
        <v>#VALUE!</v>
      </c>
      <c r="CB1" t="e">
        <f>AND(Лист1!B12,"AAAAAF6/+U8=")</f>
        <v>#VALUE!</v>
      </c>
      <c r="CC1" t="e">
        <f>AND(Лист1!C12,"AAAAAF6/+VA=")</f>
        <v>#VALUE!</v>
      </c>
      <c r="CD1" t="e">
        <f>AND(Лист1!#REF!,"AAAAAF6/+VE=")</f>
        <v>#REF!</v>
      </c>
      <c r="CE1" t="e">
        <f>AND(Лист1!D12,"AAAAAF6/+VI=")</f>
        <v>#VALUE!</v>
      </c>
      <c r="CF1" t="e">
        <f>AND(Лист1!E12,"AAAAAF6/+VM=")</f>
        <v>#VALUE!</v>
      </c>
      <c r="CG1">
        <f>IF(Лист1!13:13,"AAAAAF6/+VQ=",0)</f>
        <v>0</v>
      </c>
      <c r="CH1" t="e">
        <f>AND(Лист1!A13,"AAAAAF6/+VU=")</f>
        <v>#VALUE!</v>
      </c>
      <c r="CI1" t="e">
        <f>AND(Лист1!B13,"AAAAAF6/+VY=")</f>
        <v>#VALUE!</v>
      </c>
      <c r="CJ1" t="e">
        <f>AND(Лист1!C13,"AAAAAF6/+Vc=")</f>
        <v>#VALUE!</v>
      </c>
      <c r="CK1" t="e">
        <f>AND(Лист1!#REF!,"AAAAAF6/+Vg=")</f>
        <v>#REF!</v>
      </c>
      <c r="CL1" t="e">
        <f>AND(Лист1!D13,"AAAAAF6/+Vk=")</f>
        <v>#VALUE!</v>
      </c>
      <c r="CM1" t="e">
        <f>AND(Лист1!E13,"AAAAAF6/+Vo=")</f>
        <v>#VALUE!</v>
      </c>
      <c r="CN1">
        <f>IF(Лист1!14:14,"AAAAAF6/+Vs=",0)</f>
        <v>0</v>
      </c>
      <c r="CO1" t="e">
        <f>AND(Лист1!A14,"AAAAAF6/+Vw=")</f>
        <v>#VALUE!</v>
      </c>
      <c r="CP1" t="e">
        <f>AND(Лист1!B14,"AAAAAF6/+V0=")</f>
        <v>#VALUE!</v>
      </c>
      <c r="CQ1" t="e">
        <f>AND(Лист1!C14,"AAAAAF6/+V4=")</f>
        <v>#VALUE!</v>
      </c>
      <c r="CR1" t="e">
        <f>AND(Лист1!#REF!,"AAAAAF6/+V8=")</f>
        <v>#REF!</v>
      </c>
      <c r="CS1" t="e">
        <f>AND(Лист1!D14,"AAAAAF6/+WA=")</f>
        <v>#VALUE!</v>
      </c>
      <c r="CT1" t="e">
        <f>AND(Лист1!E14,"AAAAAF6/+WE=")</f>
        <v>#VALUE!</v>
      </c>
      <c r="CU1">
        <f>IF(Лист1!15:15,"AAAAAF6/+WI=",0)</f>
        <v>0</v>
      </c>
      <c r="CV1" t="e">
        <f>AND(Лист1!A15,"AAAAAF6/+WM=")</f>
        <v>#VALUE!</v>
      </c>
      <c r="CW1" t="e">
        <f>AND(Лист1!B15,"AAAAAF6/+WQ=")</f>
        <v>#VALUE!</v>
      </c>
      <c r="CX1" t="e">
        <f>AND(Лист1!C15,"AAAAAF6/+WU=")</f>
        <v>#VALUE!</v>
      </c>
      <c r="CY1" t="e">
        <f>AND(Лист1!#REF!,"AAAAAF6/+WY=")</f>
        <v>#REF!</v>
      </c>
      <c r="CZ1" t="e">
        <f>AND(Лист1!D15,"AAAAAF6/+Wc=")</f>
        <v>#VALUE!</v>
      </c>
      <c r="DA1" t="e">
        <f>AND(Лист1!E15,"AAAAAF6/+Wg=")</f>
        <v>#VALUE!</v>
      </c>
      <c r="DB1" t="e">
        <f>IF(Лист1!#REF!,"AAAAAF6/+Wk=",0)</f>
        <v>#REF!</v>
      </c>
      <c r="DC1" t="e">
        <f>AND(Лист1!#REF!,"AAAAAF6/+Wo=")</f>
        <v>#REF!</v>
      </c>
      <c r="DD1" t="e">
        <f>AND(Лист1!#REF!,"AAAAAF6/+Ws=")</f>
        <v>#REF!</v>
      </c>
      <c r="DE1" t="e">
        <f>AND(Лист1!#REF!,"AAAAAF6/+Ww=")</f>
        <v>#REF!</v>
      </c>
      <c r="DF1" t="e">
        <f>AND(Лист1!#REF!,"AAAAAF6/+W0=")</f>
        <v>#REF!</v>
      </c>
      <c r="DG1" t="e">
        <f>AND(Лист1!#REF!,"AAAAAF6/+W4=")</f>
        <v>#REF!</v>
      </c>
      <c r="DH1" t="e">
        <f>AND(Лист1!#REF!,"AAAAAF6/+W8=")</f>
        <v>#REF!</v>
      </c>
      <c r="DI1" t="e">
        <f>IF(Лист1!#REF!,"AAAAAF6/+XA=",0)</f>
        <v>#REF!</v>
      </c>
      <c r="DJ1" t="e">
        <f>AND(Лист1!#REF!,"AAAAAF6/+XE=")</f>
        <v>#REF!</v>
      </c>
      <c r="DK1" t="e">
        <f>AND(Лист1!#REF!,"AAAAAF6/+XI=")</f>
        <v>#REF!</v>
      </c>
      <c r="DL1" t="e">
        <f>AND(Лист1!#REF!,"AAAAAF6/+XM=")</f>
        <v>#REF!</v>
      </c>
      <c r="DM1" t="e">
        <f>AND(Лист1!#REF!,"AAAAAF6/+XQ=")</f>
        <v>#REF!</v>
      </c>
      <c r="DN1" t="e">
        <f>AND(Лист1!#REF!,"AAAAAF6/+XU=")</f>
        <v>#REF!</v>
      </c>
      <c r="DO1" t="e">
        <f>AND(Лист1!#REF!,"AAAAAF6/+XY=")</f>
        <v>#REF!</v>
      </c>
      <c r="DP1" t="e">
        <f>IF(Лист1!#REF!,"AAAAAF6/+Xc=",0)</f>
        <v>#REF!</v>
      </c>
      <c r="DQ1" t="e">
        <f>AND(Лист1!#REF!,"AAAAAF6/+Xg=")</f>
        <v>#REF!</v>
      </c>
      <c r="DR1" t="e">
        <f>AND(Лист1!#REF!,"AAAAAF6/+Xk=")</f>
        <v>#REF!</v>
      </c>
      <c r="DS1" t="e">
        <f>AND(Лист1!#REF!,"AAAAAF6/+Xo=")</f>
        <v>#REF!</v>
      </c>
      <c r="DT1" t="e">
        <f>AND(Лист1!#REF!,"AAAAAF6/+Xs=")</f>
        <v>#REF!</v>
      </c>
      <c r="DU1" t="e">
        <f>AND(Лист1!#REF!,"AAAAAF6/+Xw=")</f>
        <v>#REF!</v>
      </c>
      <c r="DV1" t="e">
        <f>AND(Лист1!#REF!,"AAAAAF6/+X0=")</f>
        <v>#REF!</v>
      </c>
      <c r="DW1" t="e">
        <f>IF(Лист1!#REF!,"AAAAAF6/+X4=",0)</f>
        <v>#REF!</v>
      </c>
      <c r="DX1" t="e">
        <f>AND(Лист1!#REF!,"AAAAAF6/+X8=")</f>
        <v>#REF!</v>
      </c>
      <c r="DY1" t="e">
        <f>AND(Лист1!#REF!,"AAAAAF6/+YA=")</f>
        <v>#REF!</v>
      </c>
      <c r="DZ1" t="e">
        <f>AND(Лист1!#REF!,"AAAAAF6/+YE=")</f>
        <v>#REF!</v>
      </c>
      <c r="EA1" t="e">
        <f>AND(Лист1!#REF!,"AAAAAF6/+YI=")</f>
        <v>#REF!</v>
      </c>
      <c r="EB1" t="e">
        <f>AND(Лист1!#REF!,"AAAAAF6/+YM=")</f>
        <v>#REF!</v>
      </c>
      <c r="EC1" t="e">
        <f>AND(Лист1!#REF!,"AAAAAF6/+YQ=")</f>
        <v>#REF!</v>
      </c>
      <c r="ED1" t="e">
        <f>IF(Лист1!#REF!,"AAAAAF6/+YU=",0)</f>
        <v>#REF!</v>
      </c>
      <c r="EE1" t="e">
        <f>AND(Лист1!#REF!,"AAAAAF6/+YY=")</f>
        <v>#REF!</v>
      </c>
      <c r="EF1" t="e">
        <f>AND(Лист1!#REF!,"AAAAAF6/+Yc=")</f>
        <v>#REF!</v>
      </c>
      <c r="EG1" t="e">
        <f>AND(Лист1!#REF!,"AAAAAF6/+Yg=")</f>
        <v>#REF!</v>
      </c>
      <c r="EH1" t="e">
        <f>AND(Лист1!#REF!,"AAAAAF6/+Yk=")</f>
        <v>#REF!</v>
      </c>
      <c r="EI1" t="e">
        <f>AND(Лист1!#REF!,"AAAAAF6/+Yo=")</f>
        <v>#REF!</v>
      </c>
      <c r="EJ1" t="e">
        <f>AND(Лист1!#REF!,"AAAAAF6/+Ys=")</f>
        <v>#REF!</v>
      </c>
      <c r="EK1" t="e">
        <f>IF(Лист1!#REF!,"AAAAAF6/+Yw=",0)</f>
        <v>#REF!</v>
      </c>
      <c r="EL1" t="e">
        <f>AND(Лист1!#REF!,"AAAAAF6/+Y0=")</f>
        <v>#REF!</v>
      </c>
      <c r="EM1" t="e">
        <f>AND(Лист1!#REF!,"AAAAAF6/+Y4=")</f>
        <v>#REF!</v>
      </c>
      <c r="EN1" t="e">
        <f>AND(Лист1!#REF!,"AAAAAF6/+Y8=")</f>
        <v>#REF!</v>
      </c>
      <c r="EO1" t="e">
        <f>AND(Лист1!#REF!,"AAAAAF6/+ZA=")</f>
        <v>#REF!</v>
      </c>
      <c r="EP1" t="e">
        <f>AND(Лист1!#REF!,"AAAAAF6/+ZE=")</f>
        <v>#REF!</v>
      </c>
      <c r="EQ1" t="e">
        <f>AND(Лист1!#REF!,"AAAAAF6/+ZI=")</f>
        <v>#REF!</v>
      </c>
      <c r="ER1">
        <f>IF(Лист1!16:16,"AAAAAF6/+ZM=",0)</f>
        <v>0</v>
      </c>
      <c r="ES1" t="e">
        <f>AND(Лист1!A16,"AAAAAF6/+ZQ=")</f>
        <v>#VALUE!</v>
      </c>
      <c r="ET1" t="e">
        <f>AND(Лист1!B16,"AAAAAF6/+ZU=")</f>
        <v>#VALUE!</v>
      </c>
      <c r="EU1" t="e">
        <f>AND(Лист1!C16,"AAAAAF6/+ZY=")</f>
        <v>#VALUE!</v>
      </c>
      <c r="EV1" t="e">
        <f>AND(Лист1!#REF!,"AAAAAF6/+Zc=")</f>
        <v>#REF!</v>
      </c>
      <c r="EW1" t="e">
        <f>AND(Лист1!D16,"AAAAAF6/+Zg=")</f>
        <v>#VALUE!</v>
      </c>
      <c r="EX1" t="e">
        <f>AND(Лист1!E16,"AAAAAF6/+Zk=")</f>
        <v>#VALUE!</v>
      </c>
      <c r="EY1">
        <f>IF(Лист1!17:17,"AAAAAF6/+Zo=",0)</f>
        <v>0</v>
      </c>
      <c r="EZ1" t="e">
        <f>AND(Лист1!A17,"AAAAAF6/+Zs=")</f>
        <v>#VALUE!</v>
      </c>
      <c r="FA1" t="e">
        <f>AND(Лист1!B17,"AAAAAF6/+Zw=")</f>
        <v>#VALUE!</v>
      </c>
      <c r="FB1" t="e">
        <f>AND(Лист1!C17,"AAAAAF6/+Z0=")</f>
        <v>#VALUE!</v>
      </c>
      <c r="FC1" t="e">
        <f>AND(Лист1!#REF!,"AAAAAF6/+Z4=")</f>
        <v>#REF!</v>
      </c>
      <c r="FD1" t="e">
        <f>AND(Лист1!D17,"AAAAAF6/+Z8=")</f>
        <v>#VALUE!</v>
      </c>
      <c r="FE1" t="e">
        <f>AND(Лист1!E17,"AAAAAF6/+aA=")</f>
        <v>#VALUE!</v>
      </c>
      <c r="FF1">
        <f>IF(Лист1!18:18,"AAAAAF6/+aE=",0)</f>
        <v>0</v>
      </c>
      <c r="FG1" t="e">
        <f>AND(Лист1!A18,"AAAAAF6/+aI=")</f>
        <v>#VALUE!</v>
      </c>
      <c r="FH1" t="e">
        <f>AND(Лист1!B18,"AAAAAF6/+aM=")</f>
        <v>#VALUE!</v>
      </c>
      <c r="FI1" t="e">
        <f>AND(Лист1!C18,"AAAAAF6/+aQ=")</f>
        <v>#VALUE!</v>
      </c>
      <c r="FJ1" t="e">
        <f>AND(Лист1!#REF!,"AAAAAF6/+aU=")</f>
        <v>#REF!</v>
      </c>
      <c r="FK1" t="e">
        <f>AND(Лист1!D18,"AAAAAF6/+aY=")</f>
        <v>#VALUE!</v>
      </c>
      <c r="FL1" t="e">
        <f>AND(Лист1!E18,"AAAAAF6/+ac=")</f>
        <v>#VALUE!</v>
      </c>
      <c r="FM1">
        <f>IF(Лист1!19:19,"AAAAAF6/+ag=",0)</f>
        <v>0</v>
      </c>
      <c r="FN1" t="e">
        <f>AND(Лист1!A19,"AAAAAF6/+ak=")</f>
        <v>#VALUE!</v>
      </c>
      <c r="FO1" t="e">
        <f>AND(Лист1!B19,"AAAAAF6/+ao=")</f>
        <v>#VALUE!</v>
      </c>
      <c r="FP1" t="e">
        <f>AND(Лист1!C19,"AAAAAF6/+as=")</f>
        <v>#VALUE!</v>
      </c>
      <c r="FQ1" t="e">
        <f>AND(Лист1!#REF!,"AAAAAF6/+aw=")</f>
        <v>#REF!</v>
      </c>
      <c r="FR1" t="e">
        <f>AND(Лист1!D19,"AAAAAF6/+a0=")</f>
        <v>#VALUE!</v>
      </c>
      <c r="FS1" t="e">
        <f>AND(Лист1!E19,"AAAAAF6/+a4=")</f>
        <v>#VALUE!</v>
      </c>
      <c r="FT1">
        <f>IF(Лист1!20:20,"AAAAAF6/+a8=",0)</f>
        <v>0</v>
      </c>
      <c r="FU1" t="e">
        <f>AND(Лист1!A20,"AAAAAF6/+bA=")</f>
        <v>#VALUE!</v>
      </c>
      <c r="FV1" t="e">
        <f>AND(Лист1!B20,"AAAAAF6/+bE=")</f>
        <v>#VALUE!</v>
      </c>
      <c r="FW1" t="e">
        <f>AND(Лист1!C20,"AAAAAF6/+bI=")</f>
        <v>#VALUE!</v>
      </c>
      <c r="FX1" t="e">
        <f>AND(Лист1!#REF!,"AAAAAF6/+bM=")</f>
        <v>#REF!</v>
      </c>
      <c r="FY1" t="e">
        <f>AND(Лист1!D20,"AAAAAF6/+bQ=")</f>
        <v>#VALUE!</v>
      </c>
      <c r="FZ1" t="e">
        <f>AND(Лист1!E20,"AAAAAF6/+bU=")</f>
        <v>#VALUE!</v>
      </c>
      <c r="GA1">
        <f>IF(Лист1!21:21,"AAAAAF6/+bY=",0)</f>
        <v>0</v>
      </c>
      <c r="GB1" t="e">
        <f>AND(Лист1!A21,"AAAAAF6/+bc=")</f>
        <v>#VALUE!</v>
      </c>
      <c r="GC1" t="e">
        <f>AND(Лист1!B21,"AAAAAF6/+bg=")</f>
        <v>#VALUE!</v>
      </c>
      <c r="GD1" t="e">
        <f>AND(Лист1!C21,"AAAAAF6/+bk=")</f>
        <v>#VALUE!</v>
      </c>
      <c r="GE1" t="e">
        <f>AND(Лист1!#REF!,"AAAAAF6/+bo=")</f>
        <v>#REF!</v>
      </c>
      <c r="GF1" t="e">
        <f>AND(Лист1!D21,"AAAAAF6/+bs=")</f>
        <v>#VALUE!</v>
      </c>
      <c r="GG1" t="e">
        <f>AND(Лист1!E21,"AAAAAF6/+bw=")</f>
        <v>#VALUE!</v>
      </c>
      <c r="GH1">
        <f>IF(Лист1!22:22,"AAAAAF6/+b0=",0)</f>
        <v>0</v>
      </c>
      <c r="GI1" t="e">
        <f>AND(Лист1!A22,"AAAAAF6/+b4=")</f>
        <v>#VALUE!</v>
      </c>
      <c r="GJ1" t="e">
        <f>AND(Лист1!B22,"AAAAAF6/+b8=")</f>
        <v>#VALUE!</v>
      </c>
      <c r="GK1" t="e">
        <f>AND(Лист1!C22,"AAAAAF6/+cA=")</f>
        <v>#VALUE!</v>
      </c>
      <c r="GL1" t="e">
        <f>AND(Лист1!#REF!,"AAAAAF6/+cE=")</f>
        <v>#REF!</v>
      </c>
      <c r="GM1" t="e">
        <f>AND(Лист1!D22,"AAAAAF6/+cI=")</f>
        <v>#VALUE!</v>
      </c>
      <c r="GN1" t="e">
        <f>AND(Лист1!E22,"AAAAAF6/+cM=")</f>
        <v>#VALUE!</v>
      </c>
      <c r="GO1">
        <f>IF(Лист1!23:23,"AAAAAF6/+cQ=",0)</f>
        <v>0</v>
      </c>
      <c r="GP1" t="e">
        <f>AND(Лист1!A23,"AAAAAF6/+cU=")</f>
        <v>#VALUE!</v>
      </c>
      <c r="GQ1" t="e">
        <f>AND(Лист1!B23,"AAAAAF6/+cY=")</f>
        <v>#VALUE!</v>
      </c>
      <c r="GR1" t="e">
        <f>AND(Лист1!C23,"AAAAAF6/+cc=")</f>
        <v>#VALUE!</v>
      </c>
      <c r="GS1" t="e">
        <f>AND(Лист1!#REF!,"AAAAAF6/+cg=")</f>
        <v>#REF!</v>
      </c>
      <c r="GT1" t="e">
        <f>AND(Лист1!D23,"AAAAAF6/+ck=")</f>
        <v>#VALUE!</v>
      </c>
      <c r="GU1" t="e">
        <f>AND(Лист1!E23,"AAAAAF6/+co=")</f>
        <v>#VALUE!</v>
      </c>
      <c r="GV1">
        <f>IF(Лист1!24:24,"AAAAAF6/+cs=",0)</f>
        <v>0</v>
      </c>
      <c r="GW1" t="e">
        <f>AND(Лист1!A24,"AAAAAF6/+cw=")</f>
        <v>#VALUE!</v>
      </c>
      <c r="GX1" t="e">
        <f>AND(Лист1!B24,"AAAAAF6/+c0=")</f>
        <v>#VALUE!</v>
      </c>
      <c r="GY1" t="e">
        <f>AND(Лист1!C24,"AAAAAF6/+c4=")</f>
        <v>#VALUE!</v>
      </c>
      <c r="GZ1" t="e">
        <f>AND(Лист1!#REF!,"AAAAAF6/+c8=")</f>
        <v>#REF!</v>
      </c>
      <c r="HA1" t="e">
        <f>AND(Лист1!D24,"AAAAAF6/+dA=")</f>
        <v>#VALUE!</v>
      </c>
      <c r="HB1" t="e">
        <f>AND(Лист1!E24,"AAAAAF6/+dE=")</f>
        <v>#VALUE!</v>
      </c>
      <c r="HC1">
        <f>IF(Лист1!25:25,"AAAAAF6/+dI=",0)</f>
        <v>0</v>
      </c>
      <c r="HD1" t="e">
        <f>AND(Лист1!A25,"AAAAAF6/+dM=")</f>
        <v>#VALUE!</v>
      </c>
      <c r="HE1" t="e">
        <f>AND(Лист1!B25,"AAAAAF6/+dQ=")</f>
        <v>#VALUE!</v>
      </c>
      <c r="HF1" t="e">
        <f>AND(Лист1!C25,"AAAAAF6/+dU=")</f>
        <v>#VALUE!</v>
      </c>
      <c r="HG1" t="e">
        <f>AND(Лист1!#REF!,"AAAAAF6/+dY=")</f>
        <v>#REF!</v>
      </c>
      <c r="HH1" t="e">
        <f>AND(Лист1!D25,"AAAAAF6/+dc=")</f>
        <v>#VALUE!</v>
      </c>
      <c r="HI1" t="e">
        <f>AND(Лист1!E25,"AAAAAF6/+dg=")</f>
        <v>#VALUE!</v>
      </c>
      <c r="HJ1">
        <f>IF(Лист1!26:26,"AAAAAF6/+dk=",0)</f>
        <v>0</v>
      </c>
      <c r="HK1" t="e">
        <f>AND(Лист1!A26,"AAAAAF6/+do=")</f>
        <v>#VALUE!</v>
      </c>
      <c r="HL1" t="e">
        <f>AND(Лист1!B26,"AAAAAF6/+ds=")</f>
        <v>#VALUE!</v>
      </c>
      <c r="HM1" t="e">
        <f>AND(Лист1!C26,"AAAAAF6/+dw=")</f>
        <v>#VALUE!</v>
      </c>
      <c r="HN1" t="e">
        <f>AND(Лист1!#REF!,"AAAAAF6/+d0=")</f>
        <v>#REF!</v>
      </c>
      <c r="HO1" t="e">
        <f>AND(Лист1!D26,"AAAAAF6/+d4=")</f>
        <v>#VALUE!</v>
      </c>
      <c r="HP1" t="e">
        <f>AND(Лист1!E26,"AAAAAF6/+d8=")</f>
        <v>#VALUE!</v>
      </c>
      <c r="HQ1">
        <f>IF(Лист1!27:27,"AAAAAF6/+eA=",0)</f>
        <v>0</v>
      </c>
      <c r="HR1" t="e">
        <f>AND(Лист1!A27,"AAAAAF6/+eE=")</f>
        <v>#VALUE!</v>
      </c>
      <c r="HS1" t="e">
        <f>AND(Лист1!B27,"AAAAAF6/+eI=")</f>
        <v>#VALUE!</v>
      </c>
      <c r="HT1" t="e">
        <f>AND(Лист1!C27,"AAAAAF6/+eM=")</f>
        <v>#VALUE!</v>
      </c>
      <c r="HU1" t="e">
        <f>AND(Лист1!#REF!,"AAAAAF6/+eQ=")</f>
        <v>#REF!</v>
      </c>
      <c r="HV1" t="e">
        <f>AND(Лист1!D27,"AAAAAF6/+eU=")</f>
        <v>#VALUE!</v>
      </c>
      <c r="HW1" t="e">
        <f>AND(Лист1!E27,"AAAAAF6/+eY=")</f>
        <v>#VALUE!</v>
      </c>
      <c r="HX1">
        <f>IF(Лист1!28:28,"AAAAAF6/+ec=",0)</f>
        <v>0</v>
      </c>
      <c r="HY1" t="e">
        <f>AND(Лист1!A28,"AAAAAF6/+eg=")</f>
        <v>#VALUE!</v>
      </c>
      <c r="HZ1" t="e">
        <f>AND(Лист1!B28,"AAAAAF6/+ek=")</f>
        <v>#VALUE!</v>
      </c>
      <c r="IA1" t="e">
        <f>AND(Лист1!C28,"AAAAAF6/+eo=")</f>
        <v>#VALUE!</v>
      </c>
      <c r="IB1" t="e">
        <f>AND(Лист1!#REF!,"AAAAAF6/+es=")</f>
        <v>#REF!</v>
      </c>
      <c r="IC1" t="e">
        <f>AND(Лист1!D28,"AAAAAF6/+ew=")</f>
        <v>#VALUE!</v>
      </c>
      <c r="ID1" t="e">
        <f>AND(Лист1!E28,"AAAAAF6/+e0=")</f>
        <v>#VALUE!</v>
      </c>
      <c r="IE1">
        <f>IF(Лист1!29:29,"AAAAAF6/+e4=",0)</f>
        <v>0</v>
      </c>
      <c r="IF1" t="e">
        <f>AND(Лист1!A29,"AAAAAF6/+e8=")</f>
        <v>#VALUE!</v>
      </c>
      <c r="IG1" t="e">
        <f>AND(Лист1!B29,"AAAAAF6/+fA=")</f>
        <v>#VALUE!</v>
      </c>
      <c r="IH1" t="e">
        <f>AND(Лист1!C29,"AAAAAF6/+fE=")</f>
        <v>#VALUE!</v>
      </c>
      <c r="II1" t="e">
        <f>AND(Лист1!#REF!,"AAAAAF6/+fI=")</f>
        <v>#REF!</v>
      </c>
      <c r="IJ1" t="e">
        <f>AND(Лист1!D29,"AAAAAF6/+fM=")</f>
        <v>#VALUE!</v>
      </c>
      <c r="IK1" t="e">
        <f>AND(Лист1!E29,"AAAAAF6/+fQ=")</f>
        <v>#VALUE!</v>
      </c>
      <c r="IL1">
        <f>IF(Лист1!30:30,"AAAAAF6/+fU=",0)</f>
        <v>0</v>
      </c>
      <c r="IM1" t="e">
        <f>AND(Лист1!A30,"AAAAAF6/+fY=")</f>
        <v>#VALUE!</v>
      </c>
      <c r="IN1" t="e">
        <f>AND(Лист1!B30,"AAAAAF6/+fc=")</f>
        <v>#VALUE!</v>
      </c>
      <c r="IO1" t="e">
        <f>AND(Лист1!C30,"AAAAAF6/+fg=")</f>
        <v>#VALUE!</v>
      </c>
      <c r="IP1" t="e">
        <f>AND(Лист1!#REF!,"AAAAAF6/+fk=")</f>
        <v>#REF!</v>
      </c>
      <c r="IQ1" t="e">
        <f>AND(Лист1!D30,"AAAAAF6/+fo=")</f>
        <v>#VALUE!</v>
      </c>
      <c r="IR1" t="e">
        <f>AND(Лист1!E30,"AAAAAF6/+fs=")</f>
        <v>#VALUE!</v>
      </c>
      <c r="IS1">
        <f>IF(Лист1!31:31,"AAAAAF6/+fw=",0)</f>
        <v>0</v>
      </c>
      <c r="IT1" t="e">
        <f>AND(Лист1!A31,"AAAAAF6/+f0=")</f>
        <v>#VALUE!</v>
      </c>
      <c r="IU1" t="e">
        <f>AND(Лист1!B31,"AAAAAF6/+f4=")</f>
        <v>#VALUE!</v>
      </c>
      <c r="IV1" t="e">
        <f>AND(Лист1!C31,"AAAAAF6/+f8=")</f>
        <v>#VALUE!</v>
      </c>
    </row>
    <row r="2" spans="1:223" ht="12.75">
      <c r="A2" t="e">
        <f>AND(Лист1!#REF!,"AAAAAG/37AA=")</f>
        <v>#REF!</v>
      </c>
      <c r="B2" t="e">
        <f>AND(Лист1!D31,"AAAAAG/37AE=")</f>
        <v>#VALUE!</v>
      </c>
      <c r="C2" t="e">
        <f>AND(Лист1!E31,"AAAAAG/37AI=")</f>
        <v>#VALUE!</v>
      </c>
      <c r="D2">
        <f>IF(Лист1!32:32,"AAAAAG/37AM=",0)</f>
        <v>0</v>
      </c>
      <c r="E2" t="e">
        <f>AND(Лист1!A32,"AAAAAG/37AQ=")</f>
        <v>#VALUE!</v>
      </c>
      <c r="F2" t="e">
        <f>AND(Лист1!B32,"AAAAAG/37AU=")</f>
        <v>#VALUE!</v>
      </c>
      <c r="G2" t="e">
        <f>AND(Лист1!C32,"AAAAAG/37AY=")</f>
        <v>#VALUE!</v>
      </c>
      <c r="H2" t="e">
        <f>AND(Лист1!#REF!,"AAAAAG/37Ac=")</f>
        <v>#REF!</v>
      </c>
      <c r="I2" t="e">
        <f>AND(Лист1!D32,"AAAAAG/37Ag=")</f>
        <v>#VALUE!</v>
      </c>
      <c r="J2" t="e">
        <f>AND(Лист1!E32,"AAAAAG/37Ak=")</f>
        <v>#VALUE!</v>
      </c>
      <c r="K2">
        <f>IF(Лист1!33:33,"AAAAAG/37Ao=",0)</f>
        <v>0</v>
      </c>
      <c r="L2" t="e">
        <f>AND(Лист1!A33,"AAAAAG/37As=")</f>
        <v>#VALUE!</v>
      </c>
      <c r="M2" t="e">
        <f>AND(Лист1!B33,"AAAAAG/37Aw=")</f>
        <v>#VALUE!</v>
      </c>
      <c r="N2" t="e">
        <f>AND(Лист1!C33,"AAAAAG/37A0=")</f>
        <v>#VALUE!</v>
      </c>
      <c r="O2" t="e">
        <f>AND(Лист1!#REF!,"AAAAAG/37A4=")</f>
        <v>#REF!</v>
      </c>
      <c r="P2" t="e">
        <f>AND(Лист1!D33,"AAAAAG/37A8=")</f>
        <v>#VALUE!</v>
      </c>
      <c r="Q2" t="e">
        <f>AND(Лист1!E33,"AAAAAG/37BA=")</f>
        <v>#VALUE!</v>
      </c>
      <c r="R2">
        <f>IF(Лист1!34:34,"AAAAAG/37BE=",0)</f>
        <v>0</v>
      </c>
      <c r="S2" t="e">
        <f>AND(Лист1!A34,"AAAAAG/37BI=")</f>
        <v>#VALUE!</v>
      </c>
      <c r="T2" t="e">
        <f>AND(Лист1!B34,"AAAAAG/37BM=")</f>
        <v>#VALUE!</v>
      </c>
      <c r="U2" t="e">
        <f>AND(Лист1!C34,"AAAAAG/37BQ=")</f>
        <v>#VALUE!</v>
      </c>
      <c r="V2" t="e">
        <f>AND(Лист1!#REF!,"AAAAAG/37BU=")</f>
        <v>#REF!</v>
      </c>
      <c r="W2" t="e">
        <f>AND(Лист1!D34,"AAAAAG/37BY=")</f>
        <v>#VALUE!</v>
      </c>
      <c r="X2" t="e">
        <f>AND(Лист1!E34,"AAAAAG/37Bc=")</f>
        <v>#VALUE!</v>
      </c>
      <c r="Y2">
        <f>IF(Лист1!35:35,"AAAAAG/37Bg=",0)</f>
        <v>0</v>
      </c>
      <c r="Z2" t="e">
        <f>AND(Лист1!A35,"AAAAAG/37Bk=")</f>
        <v>#VALUE!</v>
      </c>
      <c r="AA2" t="e">
        <f>AND(Лист1!B35,"AAAAAG/37Bo=")</f>
        <v>#VALUE!</v>
      </c>
      <c r="AB2" t="e">
        <f>AND(Лист1!C35,"AAAAAG/37Bs=")</f>
        <v>#VALUE!</v>
      </c>
      <c r="AC2" t="e">
        <f>AND(Лист1!#REF!,"AAAAAG/37Bw=")</f>
        <v>#REF!</v>
      </c>
      <c r="AD2" t="e">
        <f>AND(Лист1!D35,"AAAAAG/37B0=")</f>
        <v>#VALUE!</v>
      </c>
      <c r="AE2" t="e">
        <f>AND(Лист1!E35,"AAAAAG/37B4=")</f>
        <v>#VALUE!</v>
      </c>
      <c r="AF2">
        <f>IF(Лист1!36:36,"AAAAAG/37B8=",0)</f>
        <v>0</v>
      </c>
      <c r="AG2" t="e">
        <f>AND(Лист1!A36,"AAAAAG/37CA=")</f>
        <v>#VALUE!</v>
      </c>
      <c r="AH2" t="e">
        <f>AND(Лист1!B36,"AAAAAG/37CE=")</f>
        <v>#VALUE!</v>
      </c>
      <c r="AI2" t="e">
        <f>AND(Лист1!C36,"AAAAAG/37CI=")</f>
        <v>#VALUE!</v>
      </c>
      <c r="AJ2" t="e">
        <f>AND(Лист1!#REF!,"AAAAAG/37CM=")</f>
        <v>#REF!</v>
      </c>
      <c r="AK2" t="e">
        <f>AND(Лист1!D36,"AAAAAG/37CQ=")</f>
        <v>#VALUE!</v>
      </c>
      <c r="AL2" t="e">
        <f>AND(Лист1!E36,"AAAAAG/37CU=")</f>
        <v>#VALUE!</v>
      </c>
      <c r="AM2">
        <f>IF(Лист1!37:37,"AAAAAG/37CY=",0)</f>
        <v>0</v>
      </c>
      <c r="AN2" t="e">
        <f>AND(Лист1!A37,"AAAAAG/37Cc=")</f>
        <v>#VALUE!</v>
      </c>
      <c r="AO2" t="e">
        <f>AND(Лист1!B37,"AAAAAG/37Cg=")</f>
        <v>#VALUE!</v>
      </c>
      <c r="AP2" t="e">
        <f>AND(Лист1!C37,"AAAAAG/37Ck=")</f>
        <v>#VALUE!</v>
      </c>
      <c r="AQ2" t="e">
        <f>AND(Лист1!#REF!,"AAAAAG/37Co=")</f>
        <v>#REF!</v>
      </c>
      <c r="AR2" t="e">
        <f>AND(Лист1!D37,"AAAAAG/37Cs=")</f>
        <v>#VALUE!</v>
      </c>
      <c r="AS2" t="e">
        <f>AND(Лист1!E37,"AAAAAG/37Cw=")</f>
        <v>#VALUE!</v>
      </c>
      <c r="AT2">
        <f>IF(Лист1!38:38,"AAAAAG/37C0=",0)</f>
        <v>0</v>
      </c>
      <c r="AU2" t="e">
        <f>AND(Лист1!A38,"AAAAAG/37C4=")</f>
        <v>#VALUE!</v>
      </c>
      <c r="AV2" t="e">
        <f>AND(Лист1!B38,"AAAAAG/37C8=")</f>
        <v>#VALUE!</v>
      </c>
      <c r="AW2" t="e">
        <f>AND(Лист1!C38,"AAAAAG/37DA=")</f>
        <v>#VALUE!</v>
      </c>
      <c r="AX2" t="e">
        <f>AND(Лист1!#REF!,"AAAAAG/37DE=")</f>
        <v>#REF!</v>
      </c>
      <c r="AY2" t="e">
        <f>AND(Лист1!D38,"AAAAAG/37DI=")</f>
        <v>#VALUE!</v>
      </c>
      <c r="AZ2" t="e">
        <f>AND(Лист1!E38,"AAAAAG/37DM=")</f>
        <v>#VALUE!</v>
      </c>
      <c r="BA2">
        <f>IF(Лист1!39:39,"AAAAAG/37DQ=",0)</f>
        <v>0</v>
      </c>
      <c r="BB2" t="e">
        <f>AND(Лист1!A39,"AAAAAG/37DU=")</f>
        <v>#VALUE!</v>
      </c>
      <c r="BC2" t="e">
        <f>AND(Лист1!B39,"AAAAAG/37DY=")</f>
        <v>#VALUE!</v>
      </c>
      <c r="BD2" t="e">
        <f>AND(Лист1!C39,"AAAAAG/37Dc=")</f>
        <v>#VALUE!</v>
      </c>
      <c r="BE2" t="e">
        <f>AND(Лист1!#REF!,"AAAAAG/37Dg=")</f>
        <v>#REF!</v>
      </c>
      <c r="BF2" t="e">
        <f>AND(Лист1!D39,"AAAAAG/37Dk=")</f>
        <v>#VALUE!</v>
      </c>
      <c r="BG2" t="e">
        <f>AND(Лист1!E39,"AAAAAG/37Do=")</f>
        <v>#VALUE!</v>
      </c>
      <c r="BH2">
        <f>IF(Лист1!40:40,"AAAAAG/37Ds=",0)</f>
        <v>0</v>
      </c>
      <c r="BI2" t="e">
        <f>AND(Лист1!A40,"AAAAAG/37Dw=")</f>
        <v>#VALUE!</v>
      </c>
      <c r="BJ2" t="e">
        <f>AND(Лист1!B40,"AAAAAG/37D0=")</f>
        <v>#VALUE!</v>
      </c>
      <c r="BK2" t="e">
        <f>AND(Лист1!C40,"AAAAAG/37D4=")</f>
        <v>#VALUE!</v>
      </c>
      <c r="BL2" t="e">
        <f>AND(Лист1!#REF!,"AAAAAG/37D8=")</f>
        <v>#REF!</v>
      </c>
      <c r="BM2" t="e">
        <f>AND(Лист1!D40,"AAAAAG/37EA=")</f>
        <v>#VALUE!</v>
      </c>
      <c r="BN2" t="e">
        <f>AND(Лист1!E40,"AAAAAG/37EE=")</f>
        <v>#VALUE!</v>
      </c>
      <c r="BO2">
        <f>IF(Лист1!41:41,"AAAAAG/37EI=",0)</f>
        <v>0</v>
      </c>
      <c r="BP2" t="e">
        <f>AND(Лист1!A41,"AAAAAG/37EM=")</f>
        <v>#VALUE!</v>
      </c>
      <c r="BQ2" t="e">
        <f>AND(Лист1!B41,"AAAAAG/37EQ=")</f>
        <v>#VALUE!</v>
      </c>
      <c r="BR2" t="e">
        <f>AND(Лист1!C41,"AAAAAG/37EU=")</f>
        <v>#VALUE!</v>
      </c>
      <c r="BS2" t="e">
        <f>AND(Лист1!#REF!,"AAAAAG/37EY=")</f>
        <v>#REF!</v>
      </c>
      <c r="BT2" t="e">
        <f>AND(Лист1!D41,"AAAAAG/37Ec=")</f>
        <v>#VALUE!</v>
      </c>
      <c r="BU2" t="e">
        <f>AND(Лист1!E41,"AAAAAG/37Eg=")</f>
        <v>#VALUE!</v>
      </c>
      <c r="BV2">
        <f>IF(Лист1!42:42,"AAAAAG/37Ek=",0)</f>
        <v>0</v>
      </c>
      <c r="BW2" t="e">
        <f>AND(Лист1!A42,"AAAAAG/37Eo=")</f>
        <v>#VALUE!</v>
      </c>
      <c r="BX2" t="e">
        <f>AND(Лист1!B42,"AAAAAG/37Es=")</f>
        <v>#VALUE!</v>
      </c>
      <c r="BY2" t="e">
        <f>AND(Лист1!C42,"AAAAAG/37Ew=")</f>
        <v>#VALUE!</v>
      </c>
      <c r="BZ2" t="e">
        <f>AND(Лист1!#REF!,"AAAAAG/37E0=")</f>
        <v>#REF!</v>
      </c>
      <c r="CA2" t="e">
        <f>AND(Лист1!D42,"AAAAAG/37E4=")</f>
        <v>#VALUE!</v>
      </c>
      <c r="CB2" t="e">
        <f>AND(Лист1!E42,"AAAAAG/37E8=")</f>
        <v>#VALUE!</v>
      </c>
      <c r="CC2">
        <f>IF(Лист1!43:43,"AAAAAG/37FA=",0)</f>
        <v>0</v>
      </c>
      <c r="CD2" t="e">
        <f>AND(Лист1!A43,"AAAAAG/37FE=")</f>
        <v>#VALUE!</v>
      </c>
      <c r="CE2" t="e">
        <f>AND(Лист1!B43,"AAAAAG/37FI=")</f>
        <v>#VALUE!</v>
      </c>
      <c r="CF2" t="e">
        <f>AND(Лист1!C43,"AAAAAG/37FM=")</f>
        <v>#VALUE!</v>
      </c>
      <c r="CG2" t="e">
        <f>AND(Лист1!#REF!,"AAAAAG/37FQ=")</f>
        <v>#REF!</v>
      </c>
      <c r="CH2" t="e">
        <f>AND(Лист1!D43,"AAAAAG/37FU=")</f>
        <v>#VALUE!</v>
      </c>
      <c r="CI2" t="e">
        <f>AND(Лист1!E43,"AAAAAG/37FY=")</f>
        <v>#VALUE!</v>
      </c>
      <c r="CJ2">
        <f>IF(Лист1!44:44,"AAAAAG/37Fc=",0)</f>
        <v>0</v>
      </c>
      <c r="CK2" t="e">
        <f>AND(Лист1!A44,"AAAAAG/37Fg=")</f>
        <v>#VALUE!</v>
      </c>
      <c r="CL2" t="e">
        <f>AND(Лист1!B44,"AAAAAG/37Fk=")</f>
        <v>#VALUE!</v>
      </c>
      <c r="CM2" t="e">
        <f>AND(Лист1!C44,"AAAAAG/37Fo=")</f>
        <v>#VALUE!</v>
      </c>
      <c r="CN2" t="e">
        <f>AND(Лист1!#REF!,"AAAAAG/37Fs=")</f>
        <v>#REF!</v>
      </c>
      <c r="CO2" t="e">
        <f>AND(Лист1!D44,"AAAAAG/37Fw=")</f>
        <v>#VALUE!</v>
      </c>
      <c r="CP2" t="e">
        <f>AND(Лист1!E44,"AAAAAG/37F0=")</f>
        <v>#VALUE!</v>
      </c>
      <c r="CQ2">
        <f>IF(Лист1!45:45,"AAAAAG/37F4=",0)</f>
        <v>0</v>
      </c>
      <c r="CR2" t="e">
        <f>AND(Лист1!A45,"AAAAAG/37F8=")</f>
        <v>#VALUE!</v>
      </c>
      <c r="CS2" t="e">
        <f>AND(Лист1!B45,"AAAAAG/37GA=")</f>
        <v>#VALUE!</v>
      </c>
      <c r="CT2" t="e">
        <f>AND(Лист1!C45,"AAAAAG/37GE=")</f>
        <v>#VALUE!</v>
      </c>
      <c r="CU2" t="e">
        <f>AND(Лист1!#REF!,"AAAAAG/37GI=")</f>
        <v>#REF!</v>
      </c>
      <c r="CV2" t="e">
        <f>AND(Лист1!D45,"AAAAAG/37GM=")</f>
        <v>#VALUE!</v>
      </c>
      <c r="CW2" t="e">
        <f>AND(Лист1!E45,"AAAAAG/37GQ=")</f>
        <v>#VALUE!</v>
      </c>
      <c r="CX2">
        <f>IF(Лист1!46:46,"AAAAAG/37GU=",0)</f>
        <v>0</v>
      </c>
      <c r="CY2" t="e">
        <f>AND(Лист1!A46,"AAAAAG/37GY=")</f>
        <v>#VALUE!</v>
      </c>
      <c r="CZ2" t="e">
        <f>AND(Лист1!B46,"AAAAAG/37Gc=")</f>
        <v>#VALUE!</v>
      </c>
      <c r="DA2" t="e">
        <f>AND(Лист1!C46,"AAAAAG/37Gg=")</f>
        <v>#VALUE!</v>
      </c>
      <c r="DB2" t="e">
        <f>AND(Лист1!#REF!,"AAAAAG/37Gk=")</f>
        <v>#REF!</v>
      </c>
      <c r="DC2" t="e">
        <f>AND(Лист1!D46,"AAAAAG/37Go=")</f>
        <v>#VALUE!</v>
      </c>
      <c r="DD2" t="e">
        <f>AND(Лист1!E46,"AAAAAG/37Gs=")</f>
        <v>#VALUE!</v>
      </c>
      <c r="DE2">
        <f>IF(Лист1!47:47,"AAAAAG/37Gw=",0)</f>
        <v>0</v>
      </c>
      <c r="DF2" t="e">
        <f>AND(Лист1!A47,"AAAAAG/37G0=")</f>
        <v>#VALUE!</v>
      </c>
      <c r="DG2" t="e">
        <f>AND(Лист1!B47,"AAAAAG/37G4=")</f>
        <v>#VALUE!</v>
      </c>
      <c r="DH2" t="e">
        <f>AND(Лист1!C47,"AAAAAG/37G8=")</f>
        <v>#VALUE!</v>
      </c>
      <c r="DI2" t="e">
        <f>AND(Лист1!#REF!,"AAAAAG/37HA=")</f>
        <v>#REF!</v>
      </c>
      <c r="DJ2" t="e">
        <f>AND(Лист1!D47,"AAAAAG/37HE=")</f>
        <v>#VALUE!</v>
      </c>
      <c r="DK2" t="e">
        <f>AND(Лист1!E47,"AAAAAG/37HI=")</f>
        <v>#VALUE!</v>
      </c>
      <c r="DL2">
        <f>IF(Лист1!48:48,"AAAAAG/37HM=",0)</f>
        <v>0</v>
      </c>
      <c r="DM2" t="e">
        <f>AND(Лист1!A48,"AAAAAG/37HQ=")</f>
        <v>#VALUE!</v>
      </c>
      <c r="DN2" t="e">
        <f>AND(Лист1!B48,"AAAAAG/37HU=")</f>
        <v>#VALUE!</v>
      </c>
      <c r="DO2" t="e">
        <f>AND(Лист1!C48,"AAAAAG/37HY=")</f>
        <v>#VALUE!</v>
      </c>
      <c r="DP2" t="e">
        <f>AND(Лист1!#REF!,"AAAAAG/37Hc=")</f>
        <v>#REF!</v>
      </c>
      <c r="DQ2" t="e">
        <f>AND(Лист1!D48,"AAAAAG/37Hg=")</f>
        <v>#VALUE!</v>
      </c>
      <c r="DR2" t="e">
        <f>AND(Лист1!E48,"AAAAAG/37Hk=")</f>
        <v>#VALUE!</v>
      </c>
      <c r="DS2">
        <f>IF(Лист1!49:49,"AAAAAG/37Ho=",0)</f>
        <v>0</v>
      </c>
      <c r="DT2" t="e">
        <f>AND(Лист1!A49,"AAAAAG/37Hs=")</f>
        <v>#VALUE!</v>
      </c>
      <c r="DU2" t="e">
        <f>AND(Лист1!B49,"AAAAAG/37Hw=")</f>
        <v>#VALUE!</v>
      </c>
      <c r="DV2" t="e">
        <f>AND(Лист1!C49,"AAAAAG/37H0=")</f>
        <v>#VALUE!</v>
      </c>
      <c r="DW2" t="e">
        <f>AND(Лист1!#REF!,"AAAAAG/37H4=")</f>
        <v>#REF!</v>
      </c>
      <c r="DX2" t="e">
        <f>AND(Лист1!D49,"AAAAAG/37H8=")</f>
        <v>#VALUE!</v>
      </c>
      <c r="DY2" t="e">
        <f>AND(Лист1!E49,"AAAAAG/37IA=")</f>
        <v>#VALUE!</v>
      </c>
      <c r="DZ2">
        <f>IF(Лист1!50:50,"AAAAAG/37IE=",0)</f>
        <v>0</v>
      </c>
      <c r="EA2" t="e">
        <f>AND(Лист1!A50,"AAAAAG/37II=")</f>
        <v>#VALUE!</v>
      </c>
      <c r="EB2" t="e">
        <f>AND(Лист1!B50,"AAAAAG/37IM=")</f>
        <v>#VALUE!</v>
      </c>
      <c r="EC2" t="e">
        <f>AND(Лист1!C50,"AAAAAG/37IQ=")</f>
        <v>#VALUE!</v>
      </c>
      <c r="ED2" t="e">
        <f>AND(Лист1!#REF!,"AAAAAG/37IU=")</f>
        <v>#REF!</v>
      </c>
      <c r="EE2" t="e">
        <f>AND(Лист1!D50,"AAAAAG/37IY=")</f>
        <v>#VALUE!</v>
      </c>
      <c r="EF2" t="e">
        <f>AND(Лист1!E50,"AAAAAG/37Ic=")</f>
        <v>#VALUE!</v>
      </c>
      <c r="EG2">
        <f>IF(Лист1!51:51,"AAAAAG/37Ig=",0)</f>
        <v>0</v>
      </c>
      <c r="EH2" t="e">
        <f>AND(Лист1!A51,"AAAAAG/37Ik=")</f>
        <v>#VALUE!</v>
      </c>
      <c r="EI2" t="e">
        <f>AND(Лист1!B51,"AAAAAG/37Io=")</f>
        <v>#VALUE!</v>
      </c>
      <c r="EJ2" t="e">
        <f>AND(Лист1!C51,"AAAAAG/37Is=")</f>
        <v>#VALUE!</v>
      </c>
      <c r="EK2" t="e">
        <f>AND(Лист1!#REF!,"AAAAAG/37Iw=")</f>
        <v>#REF!</v>
      </c>
      <c r="EL2" t="e">
        <f>AND(Лист1!D51,"AAAAAG/37I0=")</f>
        <v>#VALUE!</v>
      </c>
      <c r="EM2" t="e">
        <f>AND(Лист1!E51,"AAAAAG/37I4=")</f>
        <v>#VALUE!</v>
      </c>
      <c r="EN2">
        <f>IF(Лист1!52:52,"AAAAAG/37I8=",0)</f>
        <v>0</v>
      </c>
      <c r="EO2" t="e">
        <f>AND(Лист1!A52,"AAAAAG/37JA=")</f>
        <v>#VALUE!</v>
      </c>
      <c r="EP2" t="e">
        <f>AND(Лист1!B52,"AAAAAG/37JE=")</f>
        <v>#VALUE!</v>
      </c>
      <c r="EQ2" t="e">
        <f>AND(Лист1!C52,"AAAAAG/37JI=")</f>
        <v>#VALUE!</v>
      </c>
      <c r="ER2" t="e">
        <f>AND(Лист1!#REF!,"AAAAAG/37JM=")</f>
        <v>#REF!</v>
      </c>
      <c r="ES2" t="e">
        <f>AND(Лист1!D52,"AAAAAG/37JQ=")</f>
        <v>#VALUE!</v>
      </c>
      <c r="ET2" t="e">
        <f>AND(Лист1!E52,"AAAAAG/37JU=")</f>
        <v>#VALUE!</v>
      </c>
      <c r="EU2">
        <f>IF(Лист1!53:53,"AAAAAG/37JY=",0)</f>
        <v>0</v>
      </c>
      <c r="EV2" t="e">
        <f>AND(Лист1!A53,"AAAAAG/37Jc=")</f>
        <v>#VALUE!</v>
      </c>
      <c r="EW2" t="e">
        <f>AND(Лист1!B53,"AAAAAG/37Jg=")</f>
        <v>#VALUE!</v>
      </c>
      <c r="EX2" t="e">
        <f>AND(Лист1!C53,"AAAAAG/37Jk=")</f>
        <v>#VALUE!</v>
      </c>
      <c r="EY2" t="e">
        <f>AND(Лист1!#REF!,"AAAAAG/37Jo=")</f>
        <v>#REF!</v>
      </c>
      <c r="EZ2" t="e">
        <f>AND(Лист1!D53,"AAAAAG/37Js=")</f>
        <v>#VALUE!</v>
      </c>
      <c r="FA2" t="e">
        <f>AND(Лист1!E53,"AAAAAG/37Jw=")</f>
        <v>#VALUE!</v>
      </c>
      <c r="FB2">
        <f>IF(Лист1!54:54,"AAAAAG/37J0=",0)</f>
        <v>0</v>
      </c>
      <c r="FC2" t="e">
        <f>AND(Лист1!A54,"AAAAAG/37J4=")</f>
        <v>#VALUE!</v>
      </c>
      <c r="FD2" t="e">
        <f>AND(Лист1!B54,"AAAAAG/37J8=")</f>
        <v>#VALUE!</v>
      </c>
      <c r="FE2" t="e">
        <f>AND(Лист1!C54,"AAAAAG/37KA=")</f>
        <v>#VALUE!</v>
      </c>
      <c r="FF2" t="e">
        <f>AND(Лист1!#REF!,"AAAAAG/37KE=")</f>
        <v>#REF!</v>
      </c>
      <c r="FG2" t="e">
        <f>AND(Лист1!D54,"AAAAAG/37KI=")</f>
        <v>#VALUE!</v>
      </c>
      <c r="FH2" t="e">
        <f>AND(Лист1!E54,"AAAAAG/37KM=")</f>
        <v>#VALUE!</v>
      </c>
      <c r="FI2">
        <f>IF(Лист1!55:55,"AAAAAG/37KQ=",0)</f>
        <v>0</v>
      </c>
      <c r="FJ2" t="e">
        <f>AND(Лист1!A55,"AAAAAG/37KU=")</f>
        <v>#VALUE!</v>
      </c>
      <c r="FK2" t="e">
        <f>AND(Лист1!B55,"AAAAAG/37KY=")</f>
        <v>#VALUE!</v>
      </c>
      <c r="FL2" t="e">
        <f>AND(Лист1!C55,"AAAAAG/37Kc=")</f>
        <v>#VALUE!</v>
      </c>
      <c r="FM2" t="e">
        <f>AND(Лист1!#REF!,"AAAAAG/37Kg=")</f>
        <v>#REF!</v>
      </c>
      <c r="FN2" t="e">
        <f>AND(Лист1!D55,"AAAAAG/37Kk=")</f>
        <v>#VALUE!</v>
      </c>
      <c r="FO2" t="e">
        <f>AND(Лист1!E55,"AAAAAG/37Ko=")</f>
        <v>#VALUE!</v>
      </c>
      <c r="FP2">
        <f>IF(Лист1!56:56,"AAAAAG/37Ks=",0)</f>
        <v>0</v>
      </c>
      <c r="FQ2" t="e">
        <f>AND(Лист1!A56,"AAAAAG/37Kw=")</f>
        <v>#VALUE!</v>
      </c>
      <c r="FR2" t="e">
        <f>AND(Лист1!B56,"AAAAAG/37K0=")</f>
        <v>#VALUE!</v>
      </c>
      <c r="FS2" t="e">
        <f>AND(Лист1!C56,"AAAAAG/37K4=")</f>
        <v>#VALUE!</v>
      </c>
      <c r="FT2" t="e">
        <f>AND(Лист1!#REF!,"AAAAAG/37K8=")</f>
        <v>#REF!</v>
      </c>
      <c r="FU2" t="e">
        <f>AND(Лист1!D56,"AAAAAG/37LA=")</f>
        <v>#VALUE!</v>
      </c>
      <c r="FV2" t="e">
        <f>AND(Лист1!E56,"AAAAAG/37LE=")</f>
        <v>#VALUE!</v>
      </c>
      <c r="FW2">
        <f>IF(Лист1!57:57,"AAAAAG/37LI=",0)</f>
        <v>0</v>
      </c>
      <c r="FX2" t="e">
        <f>AND(Лист1!A57,"AAAAAG/37LM=")</f>
        <v>#VALUE!</v>
      </c>
      <c r="FY2" t="e">
        <f>AND(Лист1!B57,"AAAAAG/37LQ=")</f>
        <v>#VALUE!</v>
      </c>
      <c r="FZ2" t="e">
        <f>AND(Лист1!C57,"AAAAAG/37LU=")</f>
        <v>#VALUE!</v>
      </c>
      <c r="GA2" t="e">
        <f>AND(Лист1!#REF!,"AAAAAG/37LY=")</f>
        <v>#REF!</v>
      </c>
      <c r="GB2" t="e">
        <f>AND(Лист1!D57,"AAAAAG/37Lc=")</f>
        <v>#VALUE!</v>
      </c>
      <c r="GC2" t="e">
        <f>AND(Лист1!E57,"AAAAAG/37Lg=")</f>
        <v>#VALUE!</v>
      </c>
      <c r="GD2">
        <f>IF(Лист1!58:58,"AAAAAG/37Lk=",0)</f>
        <v>0</v>
      </c>
      <c r="GE2" t="e">
        <f>AND(Лист1!A58,"AAAAAG/37Lo=")</f>
        <v>#VALUE!</v>
      </c>
      <c r="GF2" t="e">
        <f>AND(Лист1!B58,"AAAAAG/37Ls=")</f>
        <v>#VALUE!</v>
      </c>
      <c r="GG2" t="e">
        <f>AND(Лист1!C58,"AAAAAG/37Lw=")</f>
        <v>#VALUE!</v>
      </c>
      <c r="GH2" t="e">
        <f>AND(Лист1!#REF!,"AAAAAG/37L0=")</f>
        <v>#REF!</v>
      </c>
      <c r="GI2" t="e">
        <f>AND(Лист1!D58,"AAAAAG/37L4=")</f>
        <v>#VALUE!</v>
      </c>
      <c r="GJ2" t="e">
        <f>AND(Лист1!E58,"AAAAAG/37L8=")</f>
        <v>#VALUE!</v>
      </c>
      <c r="GK2">
        <f>IF(Лист1!59:59,"AAAAAG/37MA=",0)</f>
        <v>0</v>
      </c>
      <c r="GL2">
        <f>IF(Лист1!60:60,"AAAAAG/37ME=",0)</f>
        <v>0</v>
      </c>
      <c r="GM2">
        <f>IF(Лист1!61:61,"AAAAAG/37MI=",0)</f>
        <v>0</v>
      </c>
      <c r="GN2">
        <f>IF(Лист1!62:62,"AAAAAG/37MM=",0)</f>
        <v>0</v>
      </c>
      <c r="GO2">
        <f>IF(Лист1!63:63,"AAAAAG/37MQ=",0)</f>
        <v>0</v>
      </c>
      <c r="GP2">
        <f>IF(Лист1!64:64,"AAAAAG/37MU=",0)</f>
        <v>0</v>
      </c>
      <c r="GQ2">
        <f>IF(Лист1!65:65,"AAAAAG/37MY=",0)</f>
        <v>0</v>
      </c>
      <c r="GR2">
        <f>IF(Лист1!66:66,"AAAAAG/37Mc=",0)</f>
        <v>0</v>
      </c>
      <c r="GS2">
        <f>IF(Лист1!67:67,"AAAAAG/37Mg=",0)</f>
        <v>0</v>
      </c>
      <c r="GT2">
        <f>IF(Лист1!68:68,"AAAAAG/37Mk=",0)</f>
        <v>0</v>
      </c>
      <c r="GU2">
        <f>IF(Лист1!69:69,"AAAAAG/37Mo=",0)</f>
        <v>0</v>
      </c>
      <c r="GV2">
        <f>IF(Лист1!70:70,"AAAAAG/37Ms=",0)</f>
        <v>0</v>
      </c>
      <c r="GW2">
        <f>IF(Лист1!71:71,"AAAAAG/37Mw=",0)</f>
        <v>0</v>
      </c>
      <c r="GX2">
        <f>IF(Лист1!72:72,"AAAAAG/37M0=",0)</f>
        <v>0</v>
      </c>
      <c r="GY2">
        <f>IF(Лист1!73:73,"AAAAAG/37M4=",0)</f>
        <v>0</v>
      </c>
      <c r="GZ2">
        <f>IF(Лист1!74:74,"AAAAAG/37M8=",0)</f>
        <v>0</v>
      </c>
      <c r="HA2">
        <f>IF(Лист1!75:75,"AAAAAG/37NA=",0)</f>
        <v>0</v>
      </c>
      <c r="HB2">
        <f>IF(Лист1!76:76,"AAAAAG/37NE=",0)</f>
        <v>0</v>
      </c>
      <c r="HC2" t="e">
        <f>IF(Лист1!A:A,"AAAAAG/37NI=",0)</f>
        <v>#VALUE!</v>
      </c>
      <c r="HD2">
        <f>IF(Лист1!B:B,"AAAAAG/37NM=",0)</f>
        <v>0</v>
      </c>
      <c r="HE2">
        <f>IF(Лист1!C:C,"AAAAAG/37NQ=",0)</f>
        <v>0</v>
      </c>
      <c r="HF2" t="e">
        <f>IF(Лист1!#REF!,"AAAAAG/37NU=",0)</f>
        <v>#REF!</v>
      </c>
      <c r="HG2">
        <f>IF(Лист1!D:D,"AAAAAG/37NY=",0)</f>
        <v>0</v>
      </c>
      <c r="HH2" t="str">
        <f>IF(Лист1!E:E,"AAAAAG/37Nc=",0)</f>
        <v>AAAAAG/37Nc=</v>
      </c>
      <c r="HI2">
        <f>IF(Лист2!1:1,"AAAAAG/37Ng=",0)</f>
        <v>0</v>
      </c>
      <c r="HJ2" t="e">
        <f>AND(Лист2!A1,"AAAAAG/37Nk=")</f>
        <v>#VALUE!</v>
      </c>
      <c r="HK2">
        <f>IF(Лист2!A:A,"AAAAAG/37No=",0)</f>
        <v>0</v>
      </c>
      <c r="HL2">
        <f>IF(Лист3!1:1,"AAAAAG/37Ns=",0)</f>
        <v>0</v>
      </c>
      <c r="HM2" t="e">
        <f>AND(Лист3!A1,"AAAAAG/37Nw=")</f>
        <v>#VALUE!</v>
      </c>
      <c r="HN2">
        <f>IF(Лист3!A:A,"AAAAAG/37N0=",0)</f>
        <v>0</v>
      </c>
      <c r="HO2" t="s">
        <v>73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ligeo</cp:lastModifiedBy>
  <cp:lastPrinted>2009-05-05T10:42:48Z</cp:lastPrinted>
  <dcterms:created xsi:type="dcterms:W3CDTF">2008-09-26T02:35:42Z</dcterms:created>
  <dcterms:modified xsi:type="dcterms:W3CDTF">2011-04-01T08:27:30Z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1QiKz4ESMdPINEw4mgSpWgaZHyHAUvQwFwPCP4ogSIM8</vt:lpwstr>
  </property>
  <property fmtid="{D5CDD505-2E9C-101B-9397-08002B2CF9AE}" pid="4" name="Google.Documents.RevisionId">
    <vt:lpwstr>08838985709529925606</vt:lpwstr>
  </property>
  <property fmtid="{D5CDD505-2E9C-101B-9397-08002B2CF9AE}" pid="5" name="Google.Documents.PreviousRevisionId">
    <vt:lpwstr>16227530673249347272</vt:lpwstr>
  </property>
  <property fmtid="{D5CDD505-2E9C-101B-9397-08002B2CF9AE}" pid="6" name="Google.Documents.PluginVersion">
    <vt:lpwstr>2.0.1974.7364</vt:lpwstr>
  </property>
  <property fmtid="{D5CDD505-2E9C-101B-9397-08002B2CF9AE}" pid="7" name="Google.Documents.MergeIncapabilityFlags">
    <vt:i4>0</vt:i4>
  </property>
</Properties>
</file>